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595" yWindow="4200" windowWidth="19440" windowHeight="1176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podst'!$A$1:$AB$75</definedName>
    <definedName name="_xlnm._FilterDatabase" localSheetId="4" hidden="1">'gm rez'!$A$1:$AB$27</definedName>
    <definedName name="_xlnm._FilterDatabase" localSheetId="1" hidden="1">'pow podst'!$A$1:$AA$41</definedName>
    <definedName name="_xlnm.Print_Area" localSheetId="0">'24 - śląskie'!$A$1:$O$36</definedName>
    <definedName name="_xlnm.Print_Area" localSheetId="2">'gm podst'!$A$1:$X$80</definedName>
    <definedName name="_xlnm.Print_Area" localSheetId="4">'gm rez'!$A$1:$X$27</definedName>
    <definedName name="_xlnm.Print_Area" localSheetId="1">'pow podst'!$A$1:$W$46</definedName>
    <definedName name="_xlnm.Print_Area" localSheetId="3">'pow rez'!$A$1:$W$19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6"/>
  <c r="I22"/>
  <c r="I21"/>
  <c r="K75" i="5"/>
  <c r="K74"/>
  <c r="I75"/>
  <c r="I74"/>
  <c r="I72"/>
  <c r="H39" i="3"/>
  <c r="H40"/>
  <c r="H41"/>
  <c r="H38"/>
  <c r="K29" l="1"/>
  <c r="K25"/>
  <c r="O25" l="1"/>
  <c r="L25"/>
  <c r="O29"/>
  <c r="L29"/>
  <c r="M71" i="5"/>
  <c r="O72"/>
  <c r="P72"/>
  <c r="Q72"/>
  <c r="I73"/>
  <c r="L73"/>
  <c r="M73"/>
  <c r="O73"/>
  <c r="P73"/>
  <c r="Q73"/>
  <c r="O74"/>
  <c r="P74"/>
  <c r="Q74"/>
  <c r="O75"/>
  <c r="P75"/>
  <c r="Q75"/>
  <c r="O38" i="3" l="1"/>
  <c r="P38"/>
  <c r="Q38"/>
  <c r="R38"/>
  <c r="S38"/>
  <c r="T38"/>
  <c r="U38"/>
  <c r="V38"/>
  <c r="W38"/>
  <c r="O39"/>
  <c r="P39"/>
  <c r="Q39"/>
  <c r="R39"/>
  <c r="S39"/>
  <c r="T39"/>
  <c r="U39"/>
  <c r="V39"/>
  <c r="W39"/>
  <c r="O40"/>
  <c r="P40"/>
  <c r="Q40"/>
  <c r="R40"/>
  <c r="S40"/>
  <c r="T40"/>
  <c r="U40"/>
  <c r="V40"/>
  <c r="W40"/>
  <c r="O41"/>
  <c r="P41"/>
  <c r="Q41"/>
  <c r="R41"/>
  <c r="S41"/>
  <c r="T41"/>
  <c r="U41"/>
  <c r="V41"/>
  <c r="W41"/>
  <c r="N41"/>
  <c r="N40"/>
  <c r="J41"/>
  <c r="J40"/>
  <c r="J15" i="4"/>
  <c r="J14"/>
  <c r="R72" i="5"/>
  <c r="S72"/>
  <c r="T72"/>
  <c r="U72"/>
  <c r="V72"/>
  <c r="W72"/>
  <c r="X72"/>
  <c r="R73"/>
  <c r="S73"/>
  <c r="T73"/>
  <c r="U73"/>
  <c r="V73"/>
  <c r="W73"/>
  <c r="X73"/>
  <c r="R74"/>
  <c r="S74"/>
  <c r="T74"/>
  <c r="U74"/>
  <c r="V74"/>
  <c r="W74"/>
  <c r="X74"/>
  <c r="R75"/>
  <c r="S75"/>
  <c r="T75"/>
  <c r="U75"/>
  <c r="V75"/>
  <c r="W75"/>
  <c r="X75"/>
  <c r="J38" i="3"/>
  <c r="N15" i="4"/>
  <c r="N14"/>
  <c r="N13"/>
  <c r="N38" i="3"/>
  <c r="R21" i="6"/>
  <c r="S21"/>
  <c r="T21"/>
  <c r="U21"/>
  <c r="V21"/>
  <c r="W21"/>
  <c r="X21"/>
  <c r="R22"/>
  <c r="S22"/>
  <c r="T22"/>
  <c r="U22"/>
  <c r="V22"/>
  <c r="W22"/>
  <c r="X22"/>
  <c r="R23"/>
  <c r="S23"/>
  <c r="T23"/>
  <c r="U23"/>
  <c r="V23"/>
  <c r="W23"/>
  <c r="X23"/>
  <c r="Q21"/>
  <c r="Q22"/>
  <c r="Q23"/>
  <c r="P13" i="4"/>
  <c r="Q13"/>
  <c r="R13"/>
  <c r="S13"/>
  <c r="T13"/>
  <c r="U13"/>
  <c r="V13"/>
  <c r="W13"/>
  <c r="P14"/>
  <c r="Q14"/>
  <c r="R14"/>
  <c r="S14"/>
  <c r="T14"/>
  <c r="U14"/>
  <c r="V14"/>
  <c r="W14"/>
  <c r="P15"/>
  <c r="Q15"/>
  <c r="R15"/>
  <c r="S15"/>
  <c r="T15"/>
  <c r="U15"/>
  <c r="V15"/>
  <c r="W15"/>
  <c r="O15"/>
  <c r="O14"/>
  <c r="N39" i="3"/>
  <c r="L39"/>
  <c r="K39"/>
  <c r="J39"/>
  <c r="O16" i="7" l="1"/>
  <c r="N16"/>
  <c r="M16"/>
  <c r="L16"/>
  <c r="K16"/>
  <c r="J16"/>
  <c r="I16"/>
  <c r="H16"/>
  <c r="G16"/>
  <c r="O25"/>
  <c r="N25"/>
  <c r="M25"/>
  <c r="L25"/>
  <c r="K25"/>
  <c r="J25"/>
  <c r="I25"/>
  <c r="H25"/>
  <c r="G25"/>
  <c r="O26"/>
  <c r="N26"/>
  <c r="M26"/>
  <c r="L26"/>
  <c r="K26"/>
  <c r="J26"/>
  <c r="I26"/>
  <c r="H26"/>
  <c r="G26"/>
  <c r="F25"/>
  <c r="O24"/>
  <c r="O45" s="1"/>
  <c r="N24"/>
  <c r="M24"/>
  <c r="L24"/>
  <c r="L45" s="1"/>
  <c r="K24"/>
  <c r="K45" s="1"/>
  <c r="J24"/>
  <c r="I24"/>
  <c r="H24"/>
  <c r="H45" s="1"/>
  <c r="G24"/>
  <c r="G45" s="1"/>
  <c r="F24"/>
  <c r="F26"/>
  <c r="O17"/>
  <c r="N17"/>
  <c r="M17"/>
  <c r="L17"/>
  <c r="K17"/>
  <c r="J17"/>
  <c r="I17"/>
  <c r="H17"/>
  <c r="G17"/>
  <c r="O19"/>
  <c r="N19"/>
  <c r="M19"/>
  <c r="L19"/>
  <c r="K19"/>
  <c r="J19"/>
  <c r="I19"/>
  <c r="H19"/>
  <c r="G19"/>
  <c r="O18"/>
  <c r="N18"/>
  <c r="M18"/>
  <c r="L18"/>
  <c r="K18"/>
  <c r="J18"/>
  <c r="I18"/>
  <c r="H18"/>
  <c r="G18"/>
  <c r="F19"/>
  <c r="F18"/>
  <c r="F17"/>
  <c r="F16"/>
  <c r="E17"/>
  <c r="D17"/>
  <c r="C19"/>
  <c r="C18"/>
  <c r="B19"/>
  <c r="B18"/>
  <c r="B17"/>
  <c r="O15"/>
  <c r="N15"/>
  <c r="L15"/>
  <c r="K15"/>
  <c r="J15"/>
  <c r="I15"/>
  <c r="H15"/>
  <c r="G15"/>
  <c r="O14"/>
  <c r="N14"/>
  <c r="L14"/>
  <c r="K14"/>
  <c r="J14"/>
  <c r="I14"/>
  <c r="H14"/>
  <c r="G14"/>
  <c r="O13"/>
  <c r="N13"/>
  <c r="M13"/>
  <c r="L13"/>
  <c r="K13"/>
  <c r="J13"/>
  <c r="I13"/>
  <c r="H13"/>
  <c r="G13"/>
  <c r="F15"/>
  <c r="F14"/>
  <c r="F13"/>
  <c r="C14"/>
  <c r="E13"/>
  <c r="D13"/>
  <c r="C13"/>
  <c r="O12"/>
  <c r="N12"/>
  <c r="N42" s="1"/>
  <c r="L12"/>
  <c r="L42" s="1"/>
  <c r="K12"/>
  <c r="J12"/>
  <c r="J42" s="1"/>
  <c r="I12"/>
  <c r="H12"/>
  <c r="H42" s="1"/>
  <c r="G12"/>
  <c r="F12"/>
  <c r="C12"/>
  <c r="B15"/>
  <c r="B14"/>
  <c r="B13"/>
  <c r="O42" l="1"/>
  <c r="G42"/>
  <c r="K42"/>
  <c r="I42"/>
  <c r="I45"/>
  <c r="M45"/>
  <c r="F45"/>
  <c r="J45"/>
  <c r="N45"/>
  <c r="F43"/>
  <c r="H43"/>
  <c r="J43"/>
  <c r="L43"/>
  <c r="N43"/>
  <c r="G43"/>
  <c r="I43"/>
  <c r="K43"/>
  <c r="M43"/>
  <c r="O43"/>
  <c r="F42"/>
  <c r="X37" i="3"/>
  <c r="Y37"/>
  <c r="Z37" s="1"/>
  <c r="X3"/>
  <c r="Y3"/>
  <c r="Z3" s="1"/>
  <c r="AA3"/>
  <c r="X4"/>
  <c r="Y4"/>
  <c r="Z4" s="1"/>
  <c r="AA4"/>
  <c r="X5"/>
  <c r="Y5"/>
  <c r="Z5" s="1"/>
  <c r="AA5"/>
  <c r="X6"/>
  <c r="Y6"/>
  <c r="Z6" s="1"/>
  <c r="AA6"/>
  <c r="X7"/>
  <c r="Y7"/>
  <c r="Z7" s="1"/>
  <c r="AA7"/>
  <c r="X8"/>
  <c r="Y8"/>
  <c r="Z8" s="1"/>
  <c r="AA8"/>
  <c r="X9"/>
  <c r="Y9"/>
  <c r="Z9" s="1"/>
  <c r="AA9"/>
  <c r="X10"/>
  <c r="Y10"/>
  <c r="Z10" s="1"/>
  <c r="AA10"/>
  <c r="X11"/>
  <c r="Y11"/>
  <c r="Z11" s="1"/>
  <c r="AA11"/>
  <c r="X12"/>
  <c r="Y12"/>
  <c r="Z12" s="1"/>
  <c r="AA12"/>
  <c r="X13"/>
  <c r="Y13"/>
  <c r="Z13" s="1"/>
  <c r="AA13"/>
  <c r="X14"/>
  <c r="Y14"/>
  <c r="Z14" s="1"/>
  <c r="AA14"/>
  <c r="X15"/>
  <c r="Y15"/>
  <c r="Z15" s="1"/>
  <c r="AA15"/>
  <c r="X16"/>
  <c r="Y16"/>
  <c r="Z16" s="1"/>
  <c r="AA16"/>
  <c r="X17"/>
  <c r="Y17"/>
  <c r="Z17" s="1"/>
  <c r="AA17"/>
  <c r="Y20" i="6"/>
  <c r="Z20"/>
  <c r="AA20" s="1"/>
  <c r="Y71" i="5" l="1"/>
  <c r="Z71"/>
  <c r="AA71" s="1"/>
  <c r="Y3"/>
  <c r="Z3"/>
  <c r="AA3" s="1"/>
  <c r="AB3"/>
  <c r="Y4"/>
  <c r="Z4"/>
  <c r="AA4" s="1"/>
  <c r="AB4"/>
  <c r="Y5"/>
  <c r="Z5"/>
  <c r="AA5" s="1"/>
  <c r="AB5"/>
  <c r="Y6"/>
  <c r="Z6"/>
  <c r="AA6" s="1"/>
  <c r="AB6"/>
  <c r="Y7"/>
  <c r="Z7"/>
  <c r="AA7" s="1"/>
  <c r="AB7"/>
  <c r="Y8"/>
  <c r="Z8"/>
  <c r="AA8" s="1"/>
  <c r="AB8"/>
  <c r="Y9"/>
  <c r="Y10"/>
  <c r="Z10"/>
  <c r="AA10" s="1"/>
  <c r="AB10"/>
  <c r="Y11"/>
  <c r="Y12"/>
  <c r="Z12"/>
  <c r="AA12" s="1"/>
  <c r="AB12"/>
  <c r="Y13"/>
  <c r="Z13"/>
  <c r="AA13" s="1"/>
  <c r="AB13"/>
  <c r="Y14"/>
  <c r="Z14"/>
  <c r="AA14" s="1"/>
  <c r="AB14"/>
  <c r="Y15"/>
  <c r="Z15"/>
  <c r="AA15" s="1"/>
  <c r="AB15"/>
  <c r="Y16"/>
  <c r="Z16"/>
  <c r="AA16" s="1"/>
  <c r="AB16"/>
  <c r="Y17"/>
  <c r="Z17"/>
  <c r="AA17" s="1"/>
  <c r="AB17"/>
  <c r="Y18"/>
  <c r="Z18"/>
  <c r="AA18" s="1"/>
  <c r="AB18"/>
  <c r="Y19"/>
  <c r="Z19"/>
  <c r="AA19" s="1"/>
  <c r="AB19"/>
  <c r="K23" i="6" l="1"/>
  <c r="K22"/>
  <c r="K21"/>
  <c r="J13" i="4"/>
  <c r="P22" i="6"/>
  <c r="I29" i="7"/>
  <c r="J29"/>
  <c r="K29"/>
  <c r="L29"/>
  <c r="M29"/>
  <c r="N29"/>
  <c r="O29"/>
  <c r="I28"/>
  <c r="J28"/>
  <c r="K28"/>
  <c r="L28"/>
  <c r="M28"/>
  <c r="N28"/>
  <c r="O28"/>
  <c r="H28"/>
  <c r="J27"/>
  <c r="K27"/>
  <c r="L27"/>
  <c r="M27"/>
  <c r="M46" s="1"/>
  <c r="N27"/>
  <c r="O27"/>
  <c r="I27"/>
  <c r="I46" s="1"/>
  <c r="H29"/>
  <c r="H27"/>
  <c r="G28"/>
  <c r="F29"/>
  <c r="F28"/>
  <c r="F27"/>
  <c r="C29"/>
  <c r="C28"/>
  <c r="C27"/>
  <c r="B29"/>
  <c r="B28"/>
  <c r="C26"/>
  <c r="B26"/>
  <c r="B25"/>
  <c r="C25"/>
  <c r="C24"/>
  <c r="M20" i="6"/>
  <c r="AB20" s="1"/>
  <c r="L19"/>
  <c r="M19" s="1"/>
  <c r="C46" i="7" l="1"/>
  <c r="L46"/>
  <c r="O46"/>
  <c r="K46"/>
  <c r="C45"/>
  <c r="F46"/>
  <c r="H46"/>
  <c r="N46"/>
  <c r="J46"/>
  <c r="AB19" i="6"/>
  <c r="Y19"/>
  <c r="Z19"/>
  <c r="AA19" s="1"/>
  <c r="G27" i="7"/>
  <c r="G29"/>
  <c r="P21" i="6"/>
  <c r="P23"/>
  <c r="G46" i="7" l="1"/>
  <c r="L10" i="6"/>
  <c r="L18"/>
  <c r="L16"/>
  <c r="L12"/>
  <c r="L13"/>
  <c r="L14"/>
  <c r="L15"/>
  <c r="L17"/>
  <c r="L11"/>
  <c r="O13" i="4"/>
  <c r="K12"/>
  <c r="M12" i="6" l="1"/>
  <c r="AB12" s="1"/>
  <c r="Z12"/>
  <c r="AA12" s="1"/>
  <c r="Y12"/>
  <c r="M14"/>
  <c r="AB14" s="1"/>
  <c r="Z14"/>
  <c r="AA14" s="1"/>
  <c r="Y14"/>
  <c r="M18"/>
  <c r="AB18" s="1"/>
  <c r="Z18"/>
  <c r="AA18" s="1"/>
  <c r="Y18"/>
  <c r="M15"/>
  <c r="AB15" s="1"/>
  <c r="Y15"/>
  <c r="Z15"/>
  <c r="AA15" s="1"/>
  <c r="M16"/>
  <c r="AB16" s="1"/>
  <c r="Y16"/>
  <c r="Z16"/>
  <c r="AA16" s="1"/>
  <c r="M11"/>
  <c r="AB11" s="1"/>
  <c r="Z11"/>
  <c r="AA11" s="1"/>
  <c r="Y11"/>
  <c r="Y17"/>
  <c r="Z17"/>
  <c r="AA17" s="1"/>
  <c r="M13"/>
  <c r="AB13" s="1"/>
  <c r="Y13"/>
  <c r="Z13"/>
  <c r="AA13" s="1"/>
  <c r="Y10"/>
  <c r="Z10"/>
  <c r="AA10" s="1"/>
  <c r="M10"/>
  <c r="AB10" s="1"/>
  <c r="L12" i="4"/>
  <c r="AA12" s="1"/>
  <c r="X12"/>
  <c r="Y12"/>
  <c r="Z12" s="1"/>
  <c r="K11"/>
  <c r="G30" i="7" l="1"/>
  <c r="K11" i="5" l="1"/>
  <c r="K9"/>
  <c r="K72" l="1"/>
  <c r="K73"/>
  <c r="C17" i="7"/>
  <c r="C16"/>
  <c r="Z9" i="5"/>
  <c r="AA9" s="1"/>
  <c r="AB9"/>
  <c r="Z11"/>
  <c r="AA11" s="1"/>
  <c r="AB11"/>
  <c r="C43" i="7" l="1"/>
  <c r="H15" i="4"/>
  <c r="H14"/>
  <c r="H13"/>
  <c r="L11" l="1"/>
  <c r="K9"/>
  <c r="Y9" s="1"/>
  <c r="Z9" s="1"/>
  <c r="K8"/>
  <c r="Y8" s="1"/>
  <c r="Z8" s="1"/>
  <c r="K6"/>
  <c r="K4"/>
  <c r="X4" s="1"/>
  <c r="K5"/>
  <c r="Y5" s="1"/>
  <c r="Z5" s="1"/>
  <c r="K3"/>
  <c r="K7"/>
  <c r="K14" l="1"/>
  <c r="E25" i="7"/>
  <c r="X3" i="4"/>
  <c r="Y6"/>
  <c r="Z6" s="1"/>
  <c r="L4"/>
  <c r="AA4" s="1"/>
  <c r="L6"/>
  <c r="L8"/>
  <c r="AA8" s="1"/>
  <c r="L9"/>
  <c r="AA9" s="1"/>
  <c r="X9"/>
  <c r="X8"/>
  <c r="X6"/>
  <c r="Y4"/>
  <c r="Z4" s="1"/>
  <c r="Y3"/>
  <c r="Z3" s="1"/>
  <c r="X5"/>
  <c r="L5"/>
  <c r="AA5" s="1"/>
  <c r="L3"/>
  <c r="X7"/>
  <c r="Y7"/>
  <c r="Z7" s="1"/>
  <c r="L7"/>
  <c r="AA7" s="1"/>
  <c r="AA6" l="1"/>
  <c r="L14"/>
  <c r="D25" i="7"/>
  <c r="AA3" i="4"/>
  <c r="L9" i="6" l="1"/>
  <c r="L6"/>
  <c r="L7"/>
  <c r="L8"/>
  <c r="M17"/>
  <c r="AB17" s="1"/>
  <c r="L5"/>
  <c r="L4"/>
  <c r="L3"/>
  <c r="M5" l="1"/>
  <c r="AB5" s="1"/>
  <c r="Z5"/>
  <c r="AA5" s="1"/>
  <c r="Y5"/>
  <c r="M7"/>
  <c r="AB7" s="1"/>
  <c r="Y7"/>
  <c r="Z7"/>
  <c r="AA7" s="1"/>
  <c r="M6"/>
  <c r="AB6" s="1"/>
  <c r="Y6"/>
  <c r="Z6"/>
  <c r="AA6" s="1"/>
  <c r="Y3"/>
  <c r="Z3"/>
  <c r="AA3" s="1"/>
  <c r="E29" i="7"/>
  <c r="B27"/>
  <c r="B46" s="1"/>
  <c r="E27"/>
  <c r="M8" i="6"/>
  <c r="AB8" s="1"/>
  <c r="Z8"/>
  <c r="AA8" s="1"/>
  <c r="Y8"/>
  <c r="M9"/>
  <c r="AB9" s="1"/>
  <c r="Y9"/>
  <c r="Z9"/>
  <c r="AA9" s="1"/>
  <c r="Z4"/>
  <c r="AA4" s="1"/>
  <c r="Y4"/>
  <c r="E28" i="7"/>
  <c r="L22" i="6"/>
  <c r="L23"/>
  <c r="L21"/>
  <c r="M4"/>
  <c r="M3"/>
  <c r="E46" i="7" l="1"/>
  <c r="D29"/>
  <c r="D27"/>
  <c r="M22" i="6"/>
  <c r="AB22" s="1"/>
  <c r="D28" i="7"/>
  <c r="Z21" i="6"/>
  <c r="AA21" s="1"/>
  <c r="AB4"/>
  <c r="Z23"/>
  <c r="AA23" s="1"/>
  <c r="Z22"/>
  <c r="AA22" s="1"/>
  <c r="AB3"/>
  <c r="M23"/>
  <c r="AB23" s="1"/>
  <c r="M21"/>
  <c r="AB21" s="1"/>
  <c r="D46" i="7" l="1"/>
  <c r="AB71" i="5"/>
  <c r="L36" l="1"/>
  <c r="L39"/>
  <c r="L40"/>
  <c r="L41"/>
  <c r="L42"/>
  <c r="L43"/>
  <c r="L44"/>
  <c r="L45"/>
  <c r="L46"/>
  <c r="L49"/>
  <c r="L50"/>
  <c r="L51"/>
  <c r="L52"/>
  <c r="L53"/>
  <c r="L54"/>
  <c r="L55"/>
  <c r="L56"/>
  <c r="L57"/>
  <c r="L58"/>
  <c r="L59"/>
  <c r="L60"/>
  <c r="L61"/>
  <c r="L63"/>
  <c r="L64"/>
  <c r="L65"/>
  <c r="L67"/>
  <c r="L22"/>
  <c r="L23"/>
  <c r="L75" s="1"/>
  <c r="L24"/>
  <c r="L25"/>
  <c r="L26"/>
  <c r="L27"/>
  <c r="L28"/>
  <c r="L31"/>
  <c r="L32"/>
  <c r="L33"/>
  <c r="L34"/>
  <c r="L35"/>
  <c r="E19" i="7" l="1"/>
  <c r="M32" i="5"/>
  <c r="AB32" s="1"/>
  <c r="Y32"/>
  <c r="Z32"/>
  <c r="AA32" s="1"/>
  <c r="M67"/>
  <c r="AB67" s="1"/>
  <c r="Y67"/>
  <c r="Z67"/>
  <c r="AA67" s="1"/>
  <c r="M55"/>
  <c r="AB55" s="1"/>
  <c r="Y55"/>
  <c r="Z55"/>
  <c r="AA55" s="1"/>
  <c r="M43"/>
  <c r="AB43" s="1"/>
  <c r="Y43"/>
  <c r="Z43"/>
  <c r="AA43" s="1"/>
  <c r="M31"/>
  <c r="AB31" s="1"/>
  <c r="Y31"/>
  <c r="Z31"/>
  <c r="AA31" s="1"/>
  <c r="M27"/>
  <c r="AB27" s="1"/>
  <c r="Y27"/>
  <c r="Z27"/>
  <c r="AA27" s="1"/>
  <c r="M23"/>
  <c r="Y23"/>
  <c r="Z23"/>
  <c r="AA23" s="1"/>
  <c r="AB66"/>
  <c r="Y66"/>
  <c r="Z66"/>
  <c r="AA66" s="1"/>
  <c r="AB62"/>
  <c r="Y62"/>
  <c r="Z62"/>
  <c r="AA62" s="1"/>
  <c r="M58"/>
  <c r="AB58" s="1"/>
  <c r="Y58"/>
  <c r="Z58"/>
  <c r="AA58" s="1"/>
  <c r="M54"/>
  <c r="AB54" s="1"/>
  <c r="Y54"/>
  <c r="Z54"/>
  <c r="AA54" s="1"/>
  <c r="M50"/>
  <c r="AB50" s="1"/>
  <c r="Y50"/>
  <c r="Z50"/>
  <c r="AA50" s="1"/>
  <c r="M46"/>
  <c r="AB46" s="1"/>
  <c r="Y46"/>
  <c r="Z46"/>
  <c r="AA46" s="1"/>
  <c r="M42"/>
  <c r="AB42" s="1"/>
  <c r="Y42"/>
  <c r="Z42"/>
  <c r="AA42" s="1"/>
  <c r="AB38"/>
  <c r="Y38"/>
  <c r="Z38"/>
  <c r="AA38" s="1"/>
  <c r="M28"/>
  <c r="AB28" s="1"/>
  <c r="Y28"/>
  <c r="Z28"/>
  <c r="AA28" s="1"/>
  <c r="M63"/>
  <c r="AB63" s="1"/>
  <c r="Y63"/>
  <c r="Z63"/>
  <c r="AA63" s="1"/>
  <c r="M51"/>
  <c r="AB51" s="1"/>
  <c r="Y51"/>
  <c r="Z51"/>
  <c r="AA51" s="1"/>
  <c r="Y39"/>
  <c r="Z39"/>
  <c r="AA39" s="1"/>
  <c r="AB30"/>
  <c r="Y30"/>
  <c r="Z30"/>
  <c r="AA30" s="1"/>
  <c r="M22"/>
  <c r="AB22" s="1"/>
  <c r="Y22"/>
  <c r="Z22"/>
  <c r="AA22" s="1"/>
  <c r="M65"/>
  <c r="AB65" s="1"/>
  <c r="Y65"/>
  <c r="Z65"/>
  <c r="AA65" s="1"/>
  <c r="M61"/>
  <c r="AB61" s="1"/>
  <c r="Y61"/>
  <c r="Z61"/>
  <c r="AA61" s="1"/>
  <c r="M57"/>
  <c r="AB57" s="1"/>
  <c r="Y57"/>
  <c r="Z57"/>
  <c r="AA57" s="1"/>
  <c r="M53"/>
  <c r="AB53" s="1"/>
  <c r="Y53"/>
  <c r="Z53"/>
  <c r="AA53" s="1"/>
  <c r="Y49"/>
  <c r="Z49"/>
  <c r="AA49" s="1"/>
  <c r="M45"/>
  <c r="AB45" s="1"/>
  <c r="Y45"/>
  <c r="Z45"/>
  <c r="AA45" s="1"/>
  <c r="M41"/>
  <c r="AB41" s="1"/>
  <c r="Y41"/>
  <c r="Z41"/>
  <c r="AA41" s="1"/>
  <c r="Y37"/>
  <c r="Z37"/>
  <c r="AA37" s="1"/>
  <c r="M24"/>
  <c r="AB24" s="1"/>
  <c r="Y24"/>
  <c r="Z24"/>
  <c r="AA24" s="1"/>
  <c r="M59"/>
  <c r="AB59" s="1"/>
  <c r="Y59"/>
  <c r="Z59"/>
  <c r="AA59" s="1"/>
  <c r="AB47"/>
  <c r="Y47"/>
  <c r="Z47"/>
  <c r="AA47" s="1"/>
  <c r="Y35"/>
  <c r="Z35"/>
  <c r="AA35" s="1"/>
  <c r="M34"/>
  <c r="AB34" s="1"/>
  <c r="Y34"/>
  <c r="Z34"/>
  <c r="AA34" s="1"/>
  <c r="M26"/>
  <c r="AB26" s="1"/>
  <c r="Y26"/>
  <c r="Z26"/>
  <c r="AA26" s="1"/>
  <c r="M33"/>
  <c r="AB33" s="1"/>
  <c r="Y33"/>
  <c r="Z33"/>
  <c r="AA33" s="1"/>
  <c r="AB29"/>
  <c r="Y29"/>
  <c r="Z29"/>
  <c r="AA29" s="1"/>
  <c r="M25"/>
  <c r="AB25" s="1"/>
  <c r="Y25"/>
  <c r="Z25"/>
  <c r="AA25" s="1"/>
  <c r="AB21"/>
  <c r="Y21"/>
  <c r="Z21"/>
  <c r="AA21" s="1"/>
  <c r="M64"/>
  <c r="AB64" s="1"/>
  <c r="Y64"/>
  <c r="Z64"/>
  <c r="AA64" s="1"/>
  <c r="M60"/>
  <c r="AB60" s="1"/>
  <c r="Y60"/>
  <c r="Z60"/>
  <c r="AA60" s="1"/>
  <c r="M56"/>
  <c r="AB56" s="1"/>
  <c r="Y56"/>
  <c r="Z56"/>
  <c r="AA56" s="1"/>
  <c r="M52"/>
  <c r="AB52" s="1"/>
  <c r="Y52"/>
  <c r="Z52"/>
  <c r="AA52" s="1"/>
  <c r="Y48"/>
  <c r="Z48"/>
  <c r="AA48" s="1"/>
  <c r="AB48"/>
  <c r="M44"/>
  <c r="AB44" s="1"/>
  <c r="Y44"/>
  <c r="Z44"/>
  <c r="AA44" s="1"/>
  <c r="Y40"/>
  <c r="Z40"/>
  <c r="AA40" s="1"/>
  <c r="M36"/>
  <c r="AB36" s="1"/>
  <c r="Y36"/>
  <c r="Z36"/>
  <c r="AA36" s="1"/>
  <c r="M40"/>
  <c r="AB40" s="1"/>
  <c r="M39"/>
  <c r="AB39" s="1"/>
  <c r="M49"/>
  <c r="AB49" s="1"/>
  <c r="AB37"/>
  <c r="M35"/>
  <c r="AB35" s="1"/>
  <c r="M75" l="1"/>
  <c r="AB23"/>
  <c r="D19" i="7"/>
  <c r="K19" i="3"/>
  <c r="K20"/>
  <c r="K21"/>
  <c r="K22"/>
  <c r="K23"/>
  <c r="K24"/>
  <c r="K26"/>
  <c r="K27"/>
  <c r="K28"/>
  <c r="K30"/>
  <c r="K33"/>
  <c r="K34"/>
  <c r="K35"/>
  <c r="K36"/>
  <c r="L37"/>
  <c r="AA37" s="1"/>
  <c r="K40" l="1"/>
  <c r="E14" i="7"/>
  <c r="L26" i="3"/>
  <c r="AA26" s="1"/>
  <c r="X26"/>
  <c r="Y26"/>
  <c r="Z26" s="1"/>
  <c r="AA25"/>
  <c r="X25"/>
  <c r="Y25"/>
  <c r="Z25" s="1"/>
  <c r="L21"/>
  <c r="AA21" s="1"/>
  <c r="X21"/>
  <c r="Y21"/>
  <c r="Z21" s="1"/>
  <c r="L30"/>
  <c r="AA30" s="1"/>
  <c r="Y30"/>
  <c r="Z30" s="1"/>
  <c r="X30"/>
  <c r="L22"/>
  <c r="AA22" s="1"/>
  <c r="X22"/>
  <c r="Y22"/>
  <c r="Z22" s="1"/>
  <c r="AA29"/>
  <c r="Y29"/>
  <c r="Z29" s="1"/>
  <c r="X29"/>
  <c r="AA32"/>
  <c r="Y32"/>
  <c r="Z32" s="1"/>
  <c r="X32"/>
  <c r="L28"/>
  <c r="AA28" s="1"/>
  <c r="Y28"/>
  <c r="Z28" s="1"/>
  <c r="X28"/>
  <c r="L24"/>
  <c r="AA24" s="1"/>
  <c r="X24"/>
  <c r="Y24"/>
  <c r="Z24" s="1"/>
  <c r="L20"/>
  <c r="AA20" s="1"/>
  <c r="X20"/>
  <c r="Y20"/>
  <c r="Z20" s="1"/>
  <c r="L34"/>
  <c r="AA34" s="1"/>
  <c r="X34"/>
  <c r="Y34"/>
  <c r="Z34" s="1"/>
  <c r="L33"/>
  <c r="AA33" s="1"/>
  <c r="Y33"/>
  <c r="Z33" s="1"/>
  <c r="X33"/>
  <c r="L36"/>
  <c r="AA36" s="1"/>
  <c r="Y36"/>
  <c r="Z36" s="1"/>
  <c r="L35"/>
  <c r="AA35" s="1"/>
  <c r="X35"/>
  <c r="Y35"/>
  <c r="Z35" s="1"/>
  <c r="M15" i="7"/>
  <c r="AA31" i="3"/>
  <c r="Y31"/>
  <c r="Z31" s="1"/>
  <c r="X31"/>
  <c r="L27"/>
  <c r="AA27" s="1"/>
  <c r="X27"/>
  <c r="Y27"/>
  <c r="Z27" s="1"/>
  <c r="L23"/>
  <c r="AA23" s="1"/>
  <c r="X23"/>
  <c r="Y23"/>
  <c r="Z23" s="1"/>
  <c r="L19"/>
  <c r="X19"/>
  <c r="Y19"/>
  <c r="Z19" s="1"/>
  <c r="AA19" l="1"/>
  <c r="L40"/>
  <c r="D14" i="7"/>
  <c r="P14" s="1"/>
  <c r="X36" i="3"/>
  <c r="M14" i="7"/>
  <c r="M12"/>
  <c r="Q29"/>
  <c r="P29"/>
  <c r="P25"/>
  <c r="O32"/>
  <c r="N32"/>
  <c r="M32"/>
  <c r="L32"/>
  <c r="K32"/>
  <c r="J32"/>
  <c r="I32"/>
  <c r="H32"/>
  <c r="G32"/>
  <c r="F32"/>
  <c r="C32"/>
  <c r="B32"/>
  <c r="O31"/>
  <c r="N31"/>
  <c r="M31"/>
  <c r="L31"/>
  <c r="K31"/>
  <c r="I31"/>
  <c r="H31"/>
  <c r="G31"/>
  <c r="F31"/>
  <c r="C31"/>
  <c r="B31"/>
  <c r="O22"/>
  <c r="N22"/>
  <c r="L22"/>
  <c r="L35" s="1"/>
  <c r="L40" s="1"/>
  <c r="K22"/>
  <c r="J22"/>
  <c r="I22"/>
  <c r="H22"/>
  <c r="G22"/>
  <c r="F22"/>
  <c r="C22"/>
  <c r="B22"/>
  <c r="O21"/>
  <c r="N21"/>
  <c r="M21"/>
  <c r="L21"/>
  <c r="K21"/>
  <c r="J21"/>
  <c r="J34" s="1"/>
  <c r="J39" s="1"/>
  <c r="I21"/>
  <c r="H21"/>
  <c r="G21"/>
  <c r="F21"/>
  <c r="E21"/>
  <c r="D21"/>
  <c r="C21"/>
  <c r="B21"/>
  <c r="B34" s="1"/>
  <c r="B39" s="1"/>
  <c r="O22" i="6"/>
  <c r="Q19" i="7"/>
  <c r="P19"/>
  <c r="Q17"/>
  <c r="P17"/>
  <c r="Q13"/>
  <c r="P13"/>
  <c r="G35" l="1"/>
  <c r="G40" s="1"/>
  <c r="K35"/>
  <c r="K40" s="1"/>
  <c r="F35"/>
  <c r="F40" s="1"/>
  <c r="O35"/>
  <c r="O40" s="1"/>
  <c r="G47"/>
  <c r="B35"/>
  <c r="B40" s="1"/>
  <c r="H35"/>
  <c r="H40" s="1"/>
  <c r="C35"/>
  <c r="I35"/>
  <c r="I40" s="1"/>
  <c r="N35"/>
  <c r="N40" s="1"/>
  <c r="D34"/>
  <c r="D39" s="1"/>
  <c r="F34"/>
  <c r="F39" s="1"/>
  <c r="H34"/>
  <c r="H39" s="1"/>
  <c r="L34"/>
  <c r="L39" s="1"/>
  <c r="N34"/>
  <c r="N39" s="1"/>
  <c r="Q14"/>
  <c r="C34"/>
  <c r="C39" s="1"/>
  <c r="E34"/>
  <c r="E39" s="1"/>
  <c r="G34"/>
  <c r="G39" s="1"/>
  <c r="I34"/>
  <c r="I39" s="1"/>
  <c r="K34"/>
  <c r="K39" s="1"/>
  <c r="M34"/>
  <c r="M39" s="1"/>
  <c r="O34"/>
  <c r="O39" s="1"/>
  <c r="C40"/>
  <c r="M42"/>
  <c r="Y22" i="6"/>
  <c r="M22" i="7"/>
  <c r="M35" s="1"/>
  <c r="M40" s="1"/>
  <c r="Y75" i="5"/>
  <c r="Z75"/>
  <c r="AA75" s="1"/>
  <c r="Y73"/>
  <c r="Z73"/>
  <c r="AA73" s="1"/>
  <c r="AB73"/>
  <c r="AB75"/>
  <c r="X40" i="3"/>
  <c r="Y14" i="4"/>
  <c r="P21" i="7"/>
  <c r="Q21"/>
  <c r="K10" i="4"/>
  <c r="L20" i="5"/>
  <c r="L74" s="1"/>
  <c r="L72" l="1"/>
  <c r="P34" i="7"/>
  <c r="Q34"/>
  <c r="K15" i="4"/>
  <c r="K13"/>
  <c r="E26" i="7"/>
  <c r="E24"/>
  <c r="B24"/>
  <c r="B45" s="1"/>
  <c r="E18"/>
  <c r="B16"/>
  <c r="B43" s="1"/>
  <c r="E16"/>
  <c r="L10" i="4"/>
  <c r="M20" i="5"/>
  <c r="M74" s="1"/>
  <c r="X39" i="3"/>
  <c r="O23" i="7"/>
  <c r="O36" s="1"/>
  <c r="O41" s="1"/>
  <c r="N23"/>
  <c r="N36" s="1"/>
  <c r="N41" s="1"/>
  <c r="M23"/>
  <c r="M36" s="1"/>
  <c r="M41" s="1"/>
  <c r="L23"/>
  <c r="L36" s="1"/>
  <c r="L41" s="1"/>
  <c r="K23"/>
  <c r="K36" s="1"/>
  <c r="K41" s="1"/>
  <c r="J23"/>
  <c r="J36" s="1"/>
  <c r="J41" s="1"/>
  <c r="I23"/>
  <c r="I36" s="1"/>
  <c r="H23"/>
  <c r="H36" s="1"/>
  <c r="H41" s="1"/>
  <c r="G23"/>
  <c r="G36" s="1"/>
  <c r="G41" s="1"/>
  <c r="F23"/>
  <c r="F36" s="1"/>
  <c r="F41" s="1"/>
  <c r="B23"/>
  <c r="B36" s="1"/>
  <c r="B41" s="1"/>
  <c r="O23" i="6"/>
  <c r="O21"/>
  <c r="M72" i="5" l="1"/>
  <c r="AB74"/>
  <c r="E45" i="7"/>
  <c r="E43"/>
  <c r="I41"/>
  <c r="D16"/>
  <c r="D18"/>
  <c r="L15" i="4"/>
  <c r="D26" i="7"/>
  <c r="D24"/>
  <c r="L13" i="4"/>
  <c r="Y23" i="6"/>
  <c r="Z74" i="5"/>
  <c r="AA74" s="1"/>
  <c r="Y21" i="6"/>
  <c r="E32" i="7"/>
  <c r="Q32" s="1"/>
  <c r="L30"/>
  <c r="L47" s="1"/>
  <c r="K30"/>
  <c r="K47" s="1"/>
  <c r="O30"/>
  <c r="O47" s="1"/>
  <c r="D30"/>
  <c r="Q28"/>
  <c r="E31"/>
  <c r="H30"/>
  <c r="H47" s="1"/>
  <c r="Q27"/>
  <c r="Q18"/>
  <c r="E22"/>
  <c r="E35" s="1"/>
  <c r="Y39" i="3"/>
  <c r="AA39"/>
  <c r="Q24" i="7"/>
  <c r="J30"/>
  <c r="E30"/>
  <c r="I30"/>
  <c r="I47" s="1"/>
  <c r="M30"/>
  <c r="M47" s="1"/>
  <c r="F30"/>
  <c r="F47" s="1"/>
  <c r="N30"/>
  <c r="N47" s="1"/>
  <c r="C30"/>
  <c r="C47" s="1"/>
  <c r="B30"/>
  <c r="B47" s="1"/>
  <c r="Y40" i="3"/>
  <c r="AA40"/>
  <c r="X11" i="4"/>
  <c r="Y11"/>
  <c r="Z11" s="1"/>
  <c r="AA11"/>
  <c r="AA10"/>
  <c r="Y10"/>
  <c r="Z10" s="1"/>
  <c r="X10"/>
  <c r="AB20" i="5"/>
  <c r="Z20"/>
  <c r="AA20" s="1"/>
  <c r="Y20"/>
  <c r="E47" i="7" l="1"/>
  <c r="P24"/>
  <c r="D45"/>
  <c r="D43"/>
  <c r="E40"/>
  <c r="Q26"/>
  <c r="D32"/>
  <c r="P32" s="1"/>
  <c r="P26"/>
  <c r="P27"/>
  <c r="P28"/>
  <c r="D31"/>
  <c r="D47" s="1"/>
  <c r="P18"/>
  <c r="D22"/>
  <c r="Q22"/>
  <c r="K20"/>
  <c r="J20"/>
  <c r="M20"/>
  <c r="N20"/>
  <c r="O20"/>
  <c r="P30"/>
  <c r="H20"/>
  <c r="I20"/>
  <c r="Q30"/>
  <c r="L20"/>
  <c r="D35" l="1"/>
  <c r="D40" s="1"/>
  <c r="L33"/>
  <c r="L38" s="1"/>
  <c r="L44"/>
  <c r="H33"/>
  <c r="H38" s="1"/>
  <c r="H44"/>
  <c r="O33"/>
  <c r="O38" s="1"/>
  <c r="O44"/>
  <c r="M33"/>
  <c r="M38" s="1"/>
  <c r="M44"/>
  <c r="K33"/>
  <c r="K38" s="1"/>
  <c r="K44"/>
  <c r="P35"/>
  <c r="I33"/>
  <c r="I38" s="1"/>
  <c r="I44"/>
  <c r="N33"/>
  <c r="N38" s="1"/>
  <c r="N44"/>
  <c r="J33"/>
  <c r="J44"/>
  <c r="J31"/>
  <c r="Q25"/>
  <c r="P31"/>
  <c r="P22"/>
  <c r="J35" l="1"/>
  <c r="J38" s="1"/>
  <c r="J47"/>
  <c r="Q31"/>
  <c r="J40" l="1"/>
  <c r="Q35"/>
  <c r="Y72" i="5" l="1"/>
  <c r="Z72"/>
  <c r="AA72" s="1"/>
  <c r="G20" i="7"/>
  <c r="Q16"/>
  <c r="F20"/>
  <c r="F44" s="1"/>
  <c r="X15" i="4"/>
  <c r="Y15"/>
  <c r="P16" i="7"/>
  <c r="AB72" i="5"/>
  <c r="AA15" i="4"/>
  <c r="G33" i="7" l="1"/>
  <c r="G38" s="1"/>
  <c r="G44"/>
  <c r="F33"/>
  <c r="F38" s="1"/>
  <c r="C20"/>
  <c r="C15"/>
  <c r="C42" s="1"/>
  <c r="K18" i="3"/>
  <c r="C33" i="7" l="1"/>
  <c r="Y18" i="3"/>
  <c r="Z18" s="1"/>
  <c r="K41"/>
  <c r="K38"/>
  <c r="E12" i="7"/>
  <c r="Q12" s="1"/>
  <c r="B12"/>
  <c r="B42" s="1"/>
  <c r="E15"/>
  <c r="C23"/>
  <c r="C36" s="1"/>
  <c r="C41" s="1"/>
  <c r="L18" i="3"/>
  <c r="X18"/>
  <c r="B20" i="7" l="1"/>
  <c r="B44" s="1"/>
  <c r="E20"/>
  <c r="E42"/>
  <c r="C44"/>
  <c r="C38"/>
  <c r="L38" i="3"/>
  <c r="D12" i="7"/>
  <c r="X38" i="3"/>
  <c r="Y38"/>
  <c r="E23" i="7"/>
  <c r="E36" s="1"/>
  <c r="Q15"/>
  <c r="X41" i="3"/>
  <c r="Y41"/>
  <c r="AA38"/>
  <c r="D15" i="7"/>
  <c r="L41" i="3"/>
  <c r="AA41" s="1"/>
  <c r="AA18"/>
  <c r="B33" i="7" l="1"/>
  <c r="B38" s="1"/>
  <c r="D42"/>
  <c r="E41"/>
  <c r="Q36"/>
  <c r="E33"/>
  <c r="E44"/>
  <c r="Q20"/>
  <c r="Q23"/>
  <c r="D20"/>
  <c r="P12"/>
  <c r="D23"/>
  <c r="D36" s="1"/>
  <c r="P36" s="1"/>
  <c r="P15"/>
  <c r="D44" l="1"/>
  <c r="Q33"/>
  <c r="E38"/>
  <c r="D41"/>
  <c r="P23"/>
  <c r="D33"/>
  <c r="P20"/>
  <c r="AA14" i="4"/>
  <c r="X14"/>
  <c r="X13"/>
  <c r="Y13"/>
  <c r="AA13"/>
  <c r="P33" i="7" l="1"/>
  <c r="D38"/>
  <c r="Y74" i="5"/>
</calcChain>
</file>

<file path=xl/sharedStrings.xml><?xml version="1.0" encoding="utf-8"?>
<sst xmlns="http://schemas.openxmlformats.org/spreadsheetml/2006/main" count="1067" uniqueCount="531">
  <si>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</si>
  <si>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</si>
  <si>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</si>
  <si>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</si>
  <si>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</si>
  <si>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</si>
  <si>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</si>
  <si>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</si>
  <si>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</si>
  <si>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</si>
  <si>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</si>
  <si>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</si>
  <si>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</si>
  <si>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</si>
  <si>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</si>
  <si>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</si>
  <si>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</si>
  <si>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</si>
  <si>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Lista zadań rekomendowanych do dofinansowania w ramach Funduszu Dróg Samorządowych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</si>
  <si>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</si>
  <si>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</si>
  <si>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</si>
  <si>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</si>
  <si>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</si>
  <si>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</si>
  <si>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</si>
  <si>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</si>
  <si>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</si>
  <si>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* Kwota dofinansowania zmniejszona do limitu dostępnych środków Funduszu Dróg Samorządowych; zwiększenie dofinansowania możliwe w przypadku wystąpienia oszczędności. W przypadku braku oszczędności w Funduszu, realizacja zadania będzie wymagała zabezpieczenia wkładu własnego wnioskodawcy w większej wysokości.</t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</si>
  <si>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</si>
  <si>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</si>
  <si>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</si>
  <si>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</si>
  <si>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</si>
  <si>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</si>
  <si>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</si>
  <si>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</si>
  <si>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</si>
  <si>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</si>
  <si>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</si>
  <si>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</si>
  <si>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</si>
  <si>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</si>
  <si>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</si>
  <si>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</si>
  <si>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</si>
  <si>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</si>
  <si>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</si>
  <si>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</si>
  <si>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</si>
  <si>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</si>
  <si>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</si>
  <si>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</si>
  <si>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</si>
  <si>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</si>
  <si>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</si>
  <si>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</si>
  <si>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</si>
  <si>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</si>
  <si>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</si>
  <si>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</si>
  <si>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</si>
  <si>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</si>
  <si>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</si>
  <si>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</si>
  <si>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</si>
  <si>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</si>
  <si>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</si>
  <si>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</si>
  <si>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</si>
  <si>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</si>
  <si>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</si>
  <si>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</si>
  <si>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</si>
  <si>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</si>
  <si>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</si>
  <si>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</si>
  <si>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</si>
  <si>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</si>
  <si>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</si>
  <si>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</si>
  <si>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</si>
  <si>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</si>
  <si>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</si>
  <si>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</si>
  <si>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</si>
  <si>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</si>
  <si>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</si>
  <si>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</si>
  <si>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</si>
  <si>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</si>
  <si>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</si>
  <si>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</si>
  <si>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</si>
  <si>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</si>
  <si>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</si>
  <si>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</si>
  <si>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</si>
  <si>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</si>
  <si>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</si>
  <si>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</si>
  <si>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</si>
  <si>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</si>
  <si>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</si>
  <si>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</si>
  <si>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</si>
  <si>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</si>
  <si>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</si>
  <si>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</si>
  <si>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</si>
  <si>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</si>
  <si>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</si>
  <si>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</si>
  <si>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</si>
  <si>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</si>
  <si>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</si>
  <si>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</si>
  <si>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</si>
  <si>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</si>
  <si>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</si>
  <si>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</si>
  <si>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</si>
  <si>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</si>
  <si>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</si>
  <si>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</si>
  <si>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</si>
  <si>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</si>
  <si>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</si>
  <si>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</si>
  <si>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</si>
  <si>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</si>
  <si>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</si>
  <si>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</si>
  <si>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</si>
  <si>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</si>
  <si>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</si>
  <si>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</si>
  <si>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</si>
  <si>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marzec 2019 - sierpień 2020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</si>
  <si>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</si>
  <si>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</si>
  <si>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</si>
  <si>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</si>
  <si>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</si>
  <si>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</si>
  <si>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</si>
  <si>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</si>
  <si>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</si>
  <si>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</si>
  <si>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</si>
  <si>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</si>
  <si>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</si>
  <si>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</si>
  <si>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</si>
  <si>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</si>
  <si>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</si>
  <si>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</si>
  <si>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</si>
  <si>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</si>
  <si>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</si>
  <si>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</si>
  <si>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</si>
  <si>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</si>
  <si>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</si>
  <si>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</si>
  <si>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</si>
  <si>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</si>
  <si>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</si>
  <si>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</si>
  <si>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</si>
  <si>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</si>
  <si>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</si>
  <si>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HERBY</t>
  </si>
  <si>
    <t>GMINA RĘDZINY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</si>
  <si>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</si>
  <si>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</si>
  <si>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</si>
  <si>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</si>
  <si>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</si>
  <si>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</si>
  <si>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</si>
  <si>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</si>
  <si>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</si>
  <si>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</si>
  <si>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</si>
  <si>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</si>
  <si>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</si>
  <si>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</si>
  <si>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</si>
  <si>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</si>
  <si>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</si>
  <si>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</si>
  <si>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</si>
  <si>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</si>
  <si>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</si>
  <si>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</si>
  <si>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</si>
  <si>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</si>
  <si>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</si>
  <si>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</si>
  <si>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</si>
  <si>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</si>
  <si>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</si>
  <si>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</si>
  <si>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</si>
  <si>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</si>
  <si>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</si>
  <si>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</si>
  <si>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</si>
  <si>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</si>
  <si>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</si>
  <si>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</si>
  <si>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</si>
  <si>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</si>
  <si>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</si>
  <si>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</si>
  <si>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</si>
  <si>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</si>
  <si>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</si>
  <si>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</si>
  <si>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</si>
  <si>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</si>
  <si>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</si>
  <si>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</si>
  <si>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</si>
  <si>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</si>
  <si>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</si>
  <si>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</si>
  <si>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</si>
  <si>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</si>
  <si>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</si>
  <si>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</si>
  <si>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</si>
  <si>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</si>
  <si>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</si>
  <si>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Przebudowa drogi nr 693 016S w Praszczykach w Gminie Panki wraz z budową oświetlenia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</si>
  <si>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</si>
  <si>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</si>
  <si>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</si>
  <si>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</si>
  <si>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</si>
  <si>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</si>
  <si>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</si>
  <si>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</si>
  <si>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</si>
  <si>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</si>
  <si>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</si>
  <si>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</si>
  <si>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</si>
  <si>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</si>
  <si>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</si>
  <si>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</si>
  <si>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</si>
  <si>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</si>
  <si>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</si>
  <si>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</si>
  <si>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</si>
  <si>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</si>
  <si>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</si>
  <si>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</si>
  <si>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</si>
  <si>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</si>
  <si>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</si>
  <si>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</si>
  <si>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</si>
  <si>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</si>
  <si>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</si>
  <si>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</si>
  <si>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</si>
  <si>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</si>
  <si>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</si>
  <si>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</si>
  <si>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</si>
  <si>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</si>
  <si>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</si>
  <si>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</si>
  <si>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</si>
  <si>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</si>
  <si>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</si>
  <si>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</si>
  <si>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</si>
  <si>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</si>
  <si>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</si>
  <si>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</si>
  <si>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</si>
  <si>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</si>
  <si>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</si>
  <si>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</si>
  <si>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</si>
  <si>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</si>
  <si>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</si>
  <si>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</si>
  <si>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</si>
  <si>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</si>
  <si>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</si>
  <si>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</si>
  <si>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</si>
  <si>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</si>
  <si>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</si>
  <si>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</si>
  <si>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</si>
  <si>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</si>
  <si>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</si>
  <si>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</si>
  <si>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</si>
  <si>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</si>
  <si>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</si>
  <si>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</si>
  <si>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</si>
  <si>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</si>
  <si>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</si>
  <si>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</si>
  <si>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</si>
  <si>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</si>
  <si>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</si>
  <si>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</si>
  <si>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</si>
  <si>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</si>
  <si>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</si>
  <si>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</si>
  <si>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</si>
  <si>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</si>
  <si>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</si>
  <si>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</si>
  <si>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</si>
  <si>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</si>
  <si>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</si>
  <si>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</si>
  <si>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</si>
  <si>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</si>
  <si>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</si>
  <si>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</si>
  <si>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</si>
  <si>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</si>
  <si>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</si>
  <si>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</si>
  <si>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</si>
  <si>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</si>
  <si>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</si>
  <si>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</si>
  <si>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</si>
  <si>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</si>
  <si>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październik 2019 - październik 2020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</si>
  <si>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</si>
  <si>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</si>
  <si>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</si>
  <si>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</si>
  <si>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</si>
  <si>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</si>
  <si>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MIASTO ZABRZE*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</si>
  <si>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</si>
  <si>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</si>
  <si>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</si>
  <si>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</si>
  <si>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</si>
  <si>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</si>
  <si>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</si>
  <si>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</si>
  <si>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GMINA WODZISŁAW ŚLĄSKI</t>
  </si>
  <si>
    <t>GMINA GOCZAŁKOWICE-ZDRÓJ</t>
  </si>
  <si>
    <t>GMINA CZELADŹ</t>
  </si>
  <si>
    <t>GMINA ŻARKI</t>
  </si>
  <si>
    <t>MIASTO RYBNIK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</si>
  <si>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</si>
  <si>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</si>
  <si>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</si>
  <si>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</si>
  <si>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</si>
  <si>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</si>
  <si>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</si>
  <si>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</si>
  <si>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</si>
  <si>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</si>
  <si>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</si>
  <si>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</si>
  <si>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</si>
  <si>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</si>
  <si>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</si>
  <si>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</si>
  <si>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</si>
  <si>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</si>
  <si>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MIASTO SOSNOWIEC</t>
  </si>
  <si>
    <t>POWIAT BĘDZIŃSKI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</si>
  <si>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</si>
  <si>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</si>
  <si>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</si>
  <si>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</si>
  <si>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</si>
  <si>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</si>
  <si>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</si>
  <si>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</si>
  <si>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</si>
  <si>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</si>
  <si>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</si>
  <si>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</si>
  <si>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</si>
  <si>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</si>
  <si>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</si>
  <si>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</si>
  <si>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</si>
  <si>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</si>
  <si>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</si>
  <si>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</si>
  <si>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</si>
  <si>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</si>
  <si>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</si>
  <si>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</si>
  <si>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</si>
  <si>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</si>
  <si>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lipiec 2020-czerwiec 2021</t>
  </si>
  <si>
    <t>maj 2020 - wrzesień 2021</t>
  </si>
  <si>
    <t>marzec2020 - sierpień 2021</t>
  </si>
  <si>
    <t>luty 2020 - czerwiec 2021</t>
  </si>
  <si>
    <t>luty 2020 - maj 2021</t>
  </si>
  <si>
    <t>marzec 2020-październik 2020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</si>
  <si>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</si>
  <si>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</si>
  <si>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</si>
  <si>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</si>
  <si>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</si>
  <si>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</si>
  <si>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</si>
  <si>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kwiecień 2020 - sierpień 2021</t>
  </si>
  <si>
    <t>maj 2020 - kwiecień 2021</t>
  </si>
  <si>
    <t>kwiecień 2020 - czerwiec 2020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</si>
  <si>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</si>
  <si>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</si>
  <si>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</si>
  <si>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</si>
  <si>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</si>
  <si>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</si>
  <si>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</si>
  <si>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</si>
  <si>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</si>
  <si>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</si>
  <si>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</si>
  <si>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</si>
  <si>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styczeń 2020 - listopad 2021</t>
  </si>
  <si>
    <t>marzec 2020 - czerwiec 2021</t>
  </si>
  <si>
    <t>marzec 2020 - luty 2021</t>
  </si>
  <si>
    <t>marzec 2020 - październik 2020</t>
  </si>
  <si>
    <t>październik 2020 - wrzesień 2021</t>
  </si>
  <si>
    <t>kwiecień 2020 - listopad 2024</t>
  </si>
  <si>
    <t>kwiecień 2020 - listopad 2020</t>
  </si>
  <si>
    <t>maj 2020 - wrzesień 2020</t>
  </si>
  <si>
    <t>styczeń 2020 - grudzień 2022</t>
  </si>
  <si>
    <t>styczeń 2020 - listopada 2020</t>
  </si>
  <si>
    <t>lipiec 2020 - czerwiec 2021</t>
  </si>
  <si>
    <t>styczeń 2020 - październik 2020</t>
  </si>
  <si>
    <t>marzec 2020 - wrzesień 2020</t>
  </si>
  <si>
    <t>styczeń 2020 - grudzień 2020</t>
  </si>
  <si>
    <t>kwiecień 2020 - grudzień 2021</t>
  </si>
  <si>
    <t>kwiecień 2020 - marzec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</si>
  <si>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</si>
  <si>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</si>
  <si>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</si>
  <si>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</si>
  <si>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</si>
  <si>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</si>
  <si>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</si>
  <si>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maj 2020 - czerwiec 2021</t>
  </si>
  <si>
    <t>kwiecień 2020 - październk 2021</t>
  </si>
  <si>
    <t>marzec 2020 - maj 2021</t>
  </si>
  <si>
    <t>październik 2020 - listopad 2022</t>
  </si>
  <si>
    <t>luty 2020 - sierpień 2020</t>
  </si>
  <si>
    <t>sierpień 2020 - lipiec 2021</t>
  </si>
  <si>
    <t>wrzesień 2020 - sierpień 2021</t>
  </si>
  <si>
    <t>2461011</t>
  </si>
  <si>
    <t>Bielsko-Biała</t>
  </si>
  <si>
    <t>2402062</t>
  </si>
  <si>
    <t>2403011</t>
  </si>
  <si>
    <t>2403062</t>
  </si>
  <si>
    <t>2406013</t>
  </si>
  <si>
    <t>2406023</t>
  </si>
  <si>
    <t>2409011</t>
  </si>
  <si>
    <t>2413062</t>
  </si>
  <si>
    <t>2413092</t>
  </si>
  <si>
    <t>2416011</t>
  </si>
  <si>
    <t>221/19</t>
  </si>
  <si>
    <t>POWIAT RYBNICKI</t>
  </si>
  <si>
    <t>POWIAT KŁOBUCKI</t>
  </si>
  <si>
    <t>Remont odcinka drogi powiatowej nr 5614S ulica Wolności w Bełku od skrzyżowania z ulicą Bełkowską do skrzyżowania z ulicą Szymochy</t>
  </si>
  <si>
    <t>GMINA OLSZTYN</t>
  </si>
  <si>
    <t>GMINA OŻAROWICE</t>
  </si>
  <si>
    <t>GMINA KŁOBUCK</t>
  </si>
  <si>
    <t>GMINA ZBROSŁAWICE</t>
  </si>
  <si>
    <t>GMINA DĘBOWIEC</t>
  </si>
  <si>
    <t>GMINA PORĘBA</t>
  </si>
  <si>
    <t>MIASTO BIELSKO-BIAŁA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</si>
  <si>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</si>
  <si>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</si>
  <si>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</si>
  <si>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</si>
  <si>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</si>
  <si>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</si>
  <si>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</si>
  <si>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</si>
  <si>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</si>
  <si>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</si>
  <si>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</si>
  <si>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</si>
  <si>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</si>
  <si>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</si>
  <si>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</si>
  <si>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</si>
  <si>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</si>
  <si>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</si>
  <si>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1.098</t>
  </si>
  <si>
    <t>Budowa dróg gminnych nr 639001S ul. Generała Andersa, nr 639047S ul. Księdza Stasiewicza, nr 639048S ul. Brzozowa i nr 639049S ul. Lipowa w Krzepicach</t>
  </si>
  <si>
    <t>luty 2020 - listopad 2021</t>
  </si>
  <si>
    <t>czerwiec 2020 - październik 2021</t>
  </si>
  <si>
    <t>kwiecień 2020 - październik 2021</t>
  </si>
  <si>
    <t>marzec 2020 - sierpień 2020</t>
  </si>
  <si>
    <t>czerwiec 2020 - listopad 2022</t>
  </si>
  <si>
    <t>GMINA JAWORZE</t>
  </si>
  <si>
    <t>297/19</t>
  </si>
  <si>
    <t>301/19</t>
  </si>
  <si>
    <t>Przebudowa drogi publicznej nr 672 018S ul. Kalwaria w Jaworzu</t>
  </si>
  <si>
    <t>Przebudowa ulicy Głębokiej, droga gminna nr 390104 S w Cieszynie</t>
  </si>
  <si>
    <t>GMINA CIESZYN*</t>
  </si>
  <si>
    <t>marzec 2020  - październik 2020</t>
  </si>
  <si>
    <t>* Kwota dofinansowania zmniejszona z uwagi na osiągnięcie ustawowej wartości list rezerwowych. Nie ma możliwości zwiększenia kwoty dofinansowania. Realizacja zadania będzie wymagała zabezpieczenia wkładu własnego wnioskodawcy w większej wysokości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</si>
  <si>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</si>
  <si>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</si>
  <si>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</si>
  <si>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</si>
  <si>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</si>
  <si>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</si>
  <si>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35*</t>
  </si>
  <si>
    <t>POWIAT BIERUŃSKO-LĘDZIŃSKI</t>
  </si>
  <si>
    <t>18*</t>
  </si>
</sst>
</file>

<file path=xl/styles.xml><?xml version="1.0" encoding="utf-8"?>
<styleSheet xmlns="http://schemas.openxmlformats.org/spreadsheetml/2006/main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</numFmts>
  <fonts count="6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7" fillId="0" borderId="0" xfId="0" applyFont="1"/>
    <xf numFmtId="0" fontId="0" fillId="0" borderId="0" xfId="0" applyFill="1" applyAlignment="1">
      <alignment vertical="center"/>
    </xf>
    <xf numFmtId="0" fontId="17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/>
    </xf>
    <xf numFmtId="165" fontId="13" fillId="5" borderId="22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20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20" fillId="0" borderId="36" xfId="0" applyFont="1" applyFill="1" applyBorder="1" applyAlignment="1">
      <alignment horizontal="left" vertical="center" indent="2"/>
    </xf>
    <xf numFmtId="165" fontId="20" fillId="5" borderId="40" xfId="0" applyNumberFormat="1" applyFont="1" applyFill="1" applyBorder="1" applyAlignment="1">
      <alignment vertical="center"/>
    </xf>
    <xf numFmtId="0" fontId="21" fillId="3" borderId="28" xfId="0" applyFont="1" applyFill="1" applyBorder="1" applyAlignment="1">
      <alignment vertical="center"/>
    </xf>
    <xf numFmtId="165" fontId="21" fillId="3" borderId="30" xfId="0" applyNumberFormat="1" applyFont="1" applyFill="1" applyBorder="1" applyAlignment="1">
      <alignment vertical="center"/>
    </xf>
    <xf numFmtId="165" fontId="21" fillId="3" borderId="31" xfId="0" applyNumberFormat="1" applyFont="1" applyFill="1" applyBorder="1" applyAlignment="1">
      <alignment vertical="center"/>
    </xf>
    <xf numFmtId="165" fontId="21" fillId="5" borderId="32" xfId="0" applyNumberFormat="1" applyFont="1" applyFill="1" applyBorder="1" applyAlignment="1">
      <alignment vertical="center"/>
    </xf>
    <xf numFmtId="165" fontId="21" fillId="3" borderId="29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0" fontId="20" fillId="3" borderId="34" xfId="0" applyFont="1" applyFill="1" applyBorder="1" applyAlignment="1">
      <alignment horizontal="left" vertical="center" wrapText="1" indent="2"/>
    </xf>
    <xf numFmtId="165" fontId="20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20" fillId="3" borderId="36" xfId="0" applyFont="1" applyFill="1" applyBorder="1" applyAlignment="1">
      <alignment horizontal="left" vertical="center" indent="2"/>
    </xf>
    <xf numFmtId="165" fontId="20" fillId="3" borderId="38" xfId="0" applyNumberFormat="1" applyFont="1" applyFill="1" applyBorder="1" applyAlignment="1">
      <alignment vertical="center"/>
    </xf>
    <xf numFmtId="165" fontId="20" fillId="3" borderId="39" xfId="0" applyNumberFormat="1" applyFont="1" applyFill="1" applyBorder="1" applyAlignment="1">
      <alignment vertical="center"/>
    </xf>
    <xf numFmtId="165" fontId="20" fillId="3" borderId="37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165" fontId="20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20" fillId="6" borderId="36" xfId="0" applyFont="1" applyFill="1" applyBorder="1" applyAlignment="1">
      <alignment horizontal="left" vertical="center" indent="2"/>
    </xf>
    <xf numFmtId="165" fontId="20" fillId="6" borderId="38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20" fillId="2" borderId="39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20" fillId="2" borderId="37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165" fontId="13" fillId="2" borderId="30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 wrapText="1"/>
    </xf>
    <xf numFmtId="0" fontId="25" fillId="0" borderId="0" xfId="0" applyFont="1"/>
    <xf numFmtId="0" fontId="25" fillId="0" borderId="1" xfId="0" applyFont="1" applyFill="1" applyBorder="1" applyAlignment="1">
      <alignment horizontal="left" vertical="center" wrapText="1"/>
    </xf>
    <xf numFmtId="0" fontId="25" fillId="0" borderId="30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9" fontId="18" fillId="0" borderId="0" xfId="2" applyFont="1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0" fontId="25" fillId="7" borderId="1" xfId="0" applyFont="1" applyFill="1" applyBorder="1" applyAlignment="1">
      <alignment horizontal="left" wrapText="1"/>
    </xf>
    <xf numFmtId="0" fontId="25" fillId="0" borderId="0" xfId="0" applyFont="1" applyAlignment="1">
      <alignment horizontal="left"/>
    </xf>
    <xf numFmtId="0" fontId="25" fillId="7" borderId="4" xfId="0" applyFont="1" applyFill="1" applyBorder="1" applyAlignment="1">
      <alignment horizontal="left" wrapText="1"/>
    </xf>
    <xf numFmtId="0" fontId="25" fillId="0" borderId="30" xfId="0" applyFont="1" applyFill="1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25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/>
    </xf>
    <xf numFmtId="0" fontId="29" fillId="0" borderId="0" xfId="0" applyFont="1" applyAlignment="1">
      <alignment horizontal="left" vertical="center"/>
    </xf>
    <xf numFmtId="0" fontId="25" fillId="0" borderId="42" xfId="0" applyFont="1" applyBorder="1"/>
    <xf numFmtId="4" fontId="30" fillId="0" borderId="2" xfId="0" applyNumberFormat="1" applyFont="1" applyFill="1" applyBorder="1" applyAlignment="1">
      <alignment horizontal="right" vertical="center"/>
    </xf>
    <xf numFmtId="4" fontId="30" fillId="0" borderId="1" xfId="0" applyNumberFormat="1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1" applyFont="1" applyFill="1" applyAlignment="1">
      <alignment horizontal="center" vertical="center"/>
    </xf>
    <xf numFmtId="0" fontId="27" fillId="0" borderId="0" xfId="1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9" fontId="30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 applyProtection="1">
      <alignment horizontal="center" vertical="center"/>
      <protection locked="0"/>
    </xf>
    <xf numFmtId="0" fontId="25" fillId="0" borderId="30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 wrapText="1" shrinkToFit="1"/>
    </xf>
    <xf numFmtId="0" fontId="33" fillId="0" borderId="0" xfId="0" applyFont="1" applyFill="1" applyAlignment="1">
      <alignment horizontal="center" vertical="center"/>
    </xf>
    <xf numFmtId="43" fontId="27" fillId="0" borderId="1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9" fontId="27" fillId="0" borderId="0" xfId="2" applyFont="1" applyFill="1" applyAlignment="1">
      <alignment horizontal="center" vertical="center"/>
    </xf>
    <xf numFmtId="4" fontId="27" fillId="0" borderId="0" xfId="0" applyNumberFormat="1" applyFont="1" applyFill="1" applyAlignment="1">
      <alignment horizontal="center" vertical="center"/>
    </xf>
    <xf numFmtId="4" fontId="27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43" fontId="33" fillId="0" borderId="1" xfId="0" applyNumberFormat="1" applyFont="1" applyFill="1" applyBorder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166" fontId="7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vertical="center" wrapText="1"/>
    </xf>
    <xf numFmtId="4" fontId="33" fillId="0" borderId="0" xfId="0" applyNumberFormat="1" applyFont="1" applyFill="1" applyAlignment="1">
      <alignment vertical="center"/>
    </xf>
    <xf numFmtId="166" fontId="30" fillId="0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18" fillId="0" borderId="0" xfId="0" applyFont="1"/>
    <xf numFmtId="0" fontId="38" fillId="0" borderId="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166" fontId="38" fillId="0" borderId="1" xfId="0" applyNumberFormat="1" applyFont="1" applyFill="1" applyBorder="1" applyAlignment="1">
      <alignment horizontal="center" vertical="center"/>
    </xf>
    <xf numFmtId="9" fontId="39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vertical="center"/>
    </xf>
    <xf numFmtId="4" fontId="39" fillId="0" borderId="1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166" fontId="40" fillId="0" borderId="1" xfId="0" applyNumberFormat="1" applyFont="1" applyFill="1" applyBorder="1" applyAlignment="1">
      <alignment horizontal="center" vertical="center"/>
    </xf>
    <xf numFmtId="4" fontId="37" fillId="0" borderId="2" xfId="0" applyNumberFormat="1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 wrapText="1"/>
    </xf>
    <xf numFmtId="0" fontId="25" fillId="0" borderId="30" xfId="0" applyNumberFormat="1" applyFont="1" applyFill="1" applyBorder="1" applyAlignment="1">
      <alignment horizontal="center" vertical="center"/>
    </xf>
    <xf numFmtId="9" fontId="39" fillId="0" borderId="30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vertical="center"/>
    </xf>
    <xf numFmtId="4" fontId="39" fillId="0" borderId="7" xfId="0" applyNumberFormat="1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/>
    </xf>
    <xf numFmtId="0" fontId="43" fillId="0" borderId="0" xfId="0" applyFont="1"/>
    <xf numFmtId="0" fontId="40" fillId="0" borderId="1" xfId="0" applyFont="1" applyFill="1" applyBorder="1" applyAlignment="1">
      <alignment horizontal="center" vertical="center"/>
    </xf>
    <xf numFmtId="0" fontId="40" fillId="0" borderId="1" xfId="0" applyNumberFormat="1" applyFont="1" applyBorder="1" applyAlignment="1">
      <alignment horizontal="center"/>
    </xf>
    <xf numFmtId="0" fontId="40" fillId="0" borderId="1" xfId="0" applyFont="1" applyFill="1" applyBorder="1" applyAlignment="1">
      <alignment horizontal="left" vertical="center" wrapText="1"/>
    </xf>
    <xf numFmtId="9" fontId="37" fillId="7" borderId="1" xfId="0" applyNumberFormat="1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 wrapText="1"/>
    </xf>
    <xf numFmtId="0" fontId="38" fillId="7" borderId="1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left" vertical="center" wrapText="1"/>
    </xf>
    <xf numFmtId="9" fontId="39" fillId="7" borderId="1" xfId="0" applyNumberFormat="1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166" fontId="38" fillId="0" borderId="4" xfId="0" applyNumberFormat="1" applyFont="1" applyFill="1" applyBorder="1" applyAlignment="1">
      <alignment horizontal="center" vertical="center"/>
    </xf>
    <xf numFmtId="9" fontId="39" fillId="7" borderId="4" xfId="0" applyNumberFormat="1" applyFont="1" applyFill="1" applyBorder="1" applyAlignment="1">
      <alignment horizontal="center" vertical="center"/>
    </xf>
    <xf numFmtId="0" fontId="38" fillId="0" borderId="31" xfId="0" applyFont="1" applyFill="1" applyBorder="1" applyAlignment="1">
      <alignment horizontal="center" vertical="center" wrapText="1"/>
    </xf>
    <xf numFmtId="0" fontId="38" fillId="7" borderId="30" xfId="0" applyNumberFormat="1" applyFont="1" applyFill="1" applyBorder="1" applyAlignment="1">
      <alignment horizontal="center"/>
    </xf>
    <xf numFmtId="0" fontId="38" fillId="7" borderId="1" xfId="0" applyNumberFormat="1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 vertical="center" wrapText="1"/>
    </xf>
    <xf numFmtId="167" fontId="25" fillId="0" borderId="1" xfId="0" applyNumberFormat="1" applyFont="1" applyFill="1" applyBorder="1" applyAlignment="1">
      <alignment horizontal="left" vertical="center" wrapText="1"/>
    </xf>
    <xf numFmtId="166" fontId="37" fillId="2" borderId="1" xfId="0" applyNumberFormat="1" applyFont="1" applyFill="1" applyBorder="1" applyAlignment="1">
      <alignment horizontal="center" vertical="center"/>
    </xf>
    <xf numFmtId="166" fontId="39" fillId="2" borderId="1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5" fillId="0" borderId="1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0" fillId="0" borderId="45" xfId="0" applyBorder="1" applyAlignment="1">
      <alignment horizontal="left"/>
    </xf>
    <xf numFmtId="0" fontId="16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left" vertical="center" wrapText="1"/>
    </xf>
    <xf numFmtId="164" fontId="25" fillId="0" borderId="4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32" fillId="0" borderId="0" xfId="0" applyFont="1" applyFill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47" fillId="0" borderId="1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7" fillId="0" borderId="1" xfId="0" applyNumberFormat="1" applyFont="1" applyFill="1" applyBorder="1" applyAlignment="1">
      <alignment vertical="center"/>
    </xf>
    <xf numFmtId="4" fontId="39" fillId="0" borderId="4" xfId="0" applyNumberFormat="1" applyFont="1" applyFill="1" applyBorder="1" applyAlignment="1">
      <alignment vertical="center"/>
    </xf>
    <xf numFmtId="4" fontId="39" fillId="0" borderId="30" xfId="0" applyNumberFormat="1" applyFont="1" applyFill="1" applyBorder="1" applyAlignment="1">
      <alignment vertical="center"/>
    </xf>
    <xf numFmtId="4" fontId="44" fillId="0" borderId="1" xfId="0" applyNumberFormat="1" applyFont="1" applyFill="1" applyBorder="1" applyAlignment="1">
      <alignment vertical="center"/>
    </xf>
    <xf numFmtId="4" fontId="37" fillId="0" borderId="1" xfId="0" applyNumberFormat="1" applyFont="1" applyBorder="1" applyAlignment="1">
      <alignment vertical="center" wrapText="1"/>
    </xf>
    <xf numFmtId="4" fontId="39" fillId="0" borderId="1" xfId="0" applyNumberFormat="1" applyFont="1" applyBorder="1" applyAlignment="1">
      <alignment vertical="center" wrapText="1"/>
    </xf>
    <xf numFmtId="0" fontId="38" fillId="0" borderId="5" xfId="0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 wrapText="1"/>
    </xf>
    <xf numFmtId="4" fontId="41" fillId="0" borderId="30" xfId="0" applyNumberFormat="1" applyFont="1" applyFill="1" applyBorder="1" applyAlignment="1">
      <alignment vertical="center" wrapText="1"/>
    </xf>
    <xf numFmtId="4" fontId="41" fillId="0" borderId="1" xfId="0" applyNumberFormat="1" applyFont="1" applyFill="1" applyBorder="1" applyAlignment="1">
      <alignment vertical="center"/>
    </xf>
    <xf numFmtId="43" fontId="22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165" fontId="14" fillId="6" borderId="5" xfId="0" applyNumberFormat="1" applyFont="1" applyFill="1" applyBorder="1" applyAlignment="1">
      <alignment vertical="center"/>
    </xf>
    <xf numFmtId="0" fontId="13" fillId="6" borderId="46" xfId="0" applyFont="1" applyFill="1" applyBorder="1" applyAlignment="1">
      <alignment horizontal="left" vertical="center" indent="2"/>
    </xf>
    <xf numFmtId="0" fontId="20" fillId="6" borderId="34" xfId="0" applyFont="1" applyFill="1" applyBorder="1" applyAlignment="1">
      <alignment horizontal="left" vertical="center" indent="2"/>
    </xf>
    <xf numFmtId="165" fontId="20" fillId="6" borderId="1" xfId="0" applyNumberFormat="1" applyFont="1" applyFill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/>
    </xf>
    <xf numFmtId="0" fontId="50" fillId="0" borderId="30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vertical="center"/>
    </xf>
    <xf numFmtId="0" fontId="51" fillId="0" borderId="30" xfId="0" applyFont="1" applyBorder="1" applyAlignment="1">
      <alignment horizontal="center" vertical="center"/>
    </xf>
    <xf numFmtId="0" fontId="51" fillId="0" borderId="30" xfId="0" applyFont="1" applyFill="1" applyBorder="1" applyAlignment="1">
      <alignment vertical="center" wrapText="1"/>
    </xf>
    <xf numFmtId="0" fontId="51" fillId="0" borderId="30" xfId="0" applyFont="1" applyFill="1" applyBorder="1" applyAlignment="1">
      <alignment horizontal="center" vertical="center" wrapText="1"/>
    </xf>
    <xf numFmtId="0" fontId="51" fillId="0" borderId="30" xfId="0" applyNumberFormat="1" applyFont="1" applyFill="1" applyBorder="1" applyAlignment="1">
      <alignment horizontal="center" vertical="center"/>
    </xf>
    <xf numFmtId="4" fontId="52" fillId="0" borderId="30" xfId="0" applyNumberFormat="1" applyFont="1" applyFill="1" applyBorder="1" applyAlignment="1">
      <alignment vertical="center" wrapText="1"/>
    </xf>
    <xf numFmtId="4" fontId="52" fillId="0" borderId="31" xfId="0" applyNumberFormat="1" applyFont="1" applyFill="1" applyBorder="1" applyAlignment="1">
      <alignment vertical="center"/>
    </xf>
    <xf numFmtId="4" fontId="52" fillId="0" borderId="43" xfId="0" applyNumberFormat="1" applyFont="1" applyFill="1" applyBorder="1" applyAlignment="1">
      <alignment vertical="center" wrapText="1"/>
    </xf>
    <xf numFmtId="4" fontId="52" fillId="0" borderId="5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9" fontId="51" fillId="0" borderId="0" xfId="2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vertical="center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vertical="center" wrapText="1"/>
    </xf>
    <xf numFmtId="4" fontId="52" fillId="0" borderId="1" xfId="0" applyNumberFormat="1" applyFont="1" applyFill="1" applyBorder="1" applyAlignment="1">
      <alignment vertical="center" wrapText="1"/>
    </xf>
    <xf numFmtId="4" fontId="52" fillId="0" borderId="2" xfId="0" applyNumberFormat="1" applyFont="1" applyFill="1" applyBorder="1" applyAlignment="1">
      <alignment vertical="center"/>
    </xf>
    <xf numFmtId="4" fontId="52" fillId="0" borderId="4" xfId="0" applyNumberFormat="1" applyFont="1" applyFill="1" applyBorder="1" applyAlignment="1">
      <alignment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vertical="center"/>
    </xf>
    <xf numFmtId="4" fontId="52" fillId="0" borderId="44" xfId="0" applyNumberFormat="1" applyFont="1" applyFill="1" applyBorder="1" applyAlignment="1">
      <alignment vertical="center" wrapText="1"/>
    </xf>
    <xf numFmtId="4" fontId="52" fillId="0" borderId="7" xfId="0" applyNumberFormat="1" applyFont="1" applyFill="1" applyBorder="1" applyAlignment="1">
      <alignment vertical="center"/>
    </xf>
    <xf numFmtId="16" fontId="51" fillId="0" borderId="1" xfId="0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wrapText="1"/>
    </xf>
    <xf numFmtId="166" fontId="50" fillId="0" borderId="1" xfId="0" applyNumberFormat="1" applyFont="1" applyFill="1" applyBorder="1" applyAlignment="1">
      <alignment horizontal="center" vertical="center"/>
    </xf>
    <xf numFmtId="164" fontId="5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" fontId="56" fillId="0" borderId="1" xfId="0" applyNumberFormat="1" applyFont="1" applyFill="1" applyBorder="1" applyAlignment="1">
      <alignment vertical="center"/>
    </xf>
    <xf numFmtId="4" fontId="56" fillId="0" borderId="2" xfId="0" applyNumberFormat="1" applyFont="1" applyFill="1" applyBorder="1" applyAlignment="1">
      <alignment vertical="center"/>
    </xf>
    <xf numFmtId="4" fontId="56" fillId="0" borderId="1" xfId="0" applyNumberFormat="1" applyFont="1" applyFill="1" applyBorder="1" applyAlignment="1">
      <alignment vertical="center" wrapText="1"/>
    </xf>
    <xf numFmtId="0" fontId="49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wrapText="1"/>
    </xf>
    <xf numFmtId="166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4" fontId="56" fillId="0" borderId="4" xfId="0" applyNumberFormat="1" applyFont="1" applyFill="1" applyBorder="1" applyAlignment="1">
      <alignment vertical="center"/>
    </xf>
    <xf numFmtId="4" fontId="56" fillId="0" borderId="7" xfId="0" applyNumberFormat="1" applyFont="1" applyFill="1" applyBorder="1" applyAlignment="1">
      <alignment vertical="center"/>
    </xf>
    <xf numFmtId="4" fontId="56" fillId="0" borderId="4" xfId="0" applyNumberFormat="1" applyFont="1" applyFill="1" applyBorder="1" applyAlignment="1">
      <alignment vertical="center" wrapText="1"/>
    </xf>
    <xf numFmtId="16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9" fontId="49" fillId="0" borderId="0" xfId="2" applyFont="1" applyFill="1" applyAlignment="1">
      <alignment horizontal="center" vertical="center"/>
    </xf>
    <xf numFmtId="4" fontId="49" fillId="0" borderId="0" xfId="0" applyNumberFormat="1" applyFont="1" applyFill="1" applyAlignment="1">
      <alignment horizontal="center" vertical="center"/>
    </xf>
    <xf numFmtId="166" fontId="52" fillId="0" borderId="1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9" fontId="52" fillId="0" borderId="30" xfId="0" applyNumberFormat="1" applyFont="1" applyFill="1" applyBorder="1" applyAlignment="1">
      <alignment horizontal="center" vertical="center"/>
    </xf>
    <xf numFmtId="9" fontId="52" fillId="0" borderId="1" xfId="0" applyNumberFormat="1" applyFont="1" applyFill="1" applyBorder="1" applyAlignment="1">
      <alignment horizontal="center" vertical="center"/>
    </xf>
    <xf numFmtId="9" fontId="56" fillId="0" borderId="1" xfId="0" applyNumberFormat="1" applyFont="1" applyFill="1" applyBorder="1" applyAlignment="1">
      <alignment horizontal="center" vertical="center"/>
    </xf>
    <xf numFmtId="9" fontId="56" fillId="0" borderId="4" xfId="0" applyNumberFormat="1" applyFont="1" applyFill="1" applyBorder="1" applyAlignment="1">
      <alignment horizontal="center"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0" fillId="0" borderId="47" xfId="0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7" fillId="0" borderId="0" xfId="1" applyFont="1" applyFill="1" applyAlignment="1">
      <alignment horizontal="left" vertical="center"/>
    </xf>
    <xf numFmtId="0" fontId="57" fillId="0" borderId="0" xfId="0" applyFont="1" applyAlignment="1">
      <alignment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" fontId="56" fillId="0" borderId="1" xfId="0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9" fontId="49" fillId="0" borderId="0" xfId="2" applyFont="1" applyAlignment="1">
      <alignment horizontal="left" vertical="center"/>
    </xf>
    <xf numFmtId="4" fontId="49" fillId="0" borderId="0" xfId="0" applyNumberFormat="1" applyFont="1" applyAlignment="1">
      <alignment horizontal="left" vertical="center"/>
    </xf>
    <xf numFmtId="0" fontId="50" fillId="0" borderId="1" xfId="0" applyNumberFormat="1" applyFont="1" applyBorder="1" applyAlignment="1">
      <alignment horizontal="center" vertical="center"/>
    </xf>
    <xf numFmtId="0" fontId="50" fillId="0" borderId="1" xfId="0" applyFont="1" applyFill="1" applyBorder="1" applyAlignment="1">
      <alignment vertical="center" wrapText="1"/>
    </xf>
    <xf numFmtId="43" fontId="52" fillId="0" borderId="1" xfId="5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horizontal="right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 wrapText="1"/>
    </xf>
    <xf numFmtId="43" fontId="59" fillId="0" borderId="1" xfId="5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3" fontId="56" fillId="0" borderId="1" xfId="5" applyFont="1" applyFill="1" applyBorder="1" applyAlignment="1">
      <alignment vertical="center"/>
    </xf>
    <xf numFmtId="0" fontId="51" fillId="0" borderId="1" xfId="0" applyFont="1" applyFill="1" applyBorder="1" applyAlignment="1">
      <alignment horizontal="center" vertical="center"/>
    </xf>
    <xf numFmtId="0" fontId="50" fillId="0" borderId="1" xfId="0" applyNumberFormat="1" applyFont="1" applyFill="1" applyBorder="1" applyAlignment="1">
      <alignment horizontal="center" vertical="center"/>
    </xf>
    <xf numFmtId="43" fontId="52" fillId="0" borderId="1" xfId="5" applyFont="1" applyFill="1" applyBorder="1" applyAlignment="1">
      <alignment vertical="center"/>
    </xf>
    <xf numFmtId="0" fontId="58" fillId="0" borderId="1" xfId="0" applyFont="1" applyFill="1" applyBorder="1" applyAlignment="1">
      <alignment horizontal="center" vertical="center"/>
    </xf>
    <xf numFmtId="43" fontId="59" fillId="0" borderId="1" xfId="5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166" fontId="56" fillId="2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9" fontId="56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vertical="center" wrapText="1"/>
    </xf>
    <xf numFmtId="166" fontId="52" fillId="2" borderId="1" xfId="0" applyNumberFormat="1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Border="1" applyAlignment="1">
      <alignment horizontal="right" vertical="center" wrapText="1"/>
    </xf>
    <xf numFmtId="9" fontId="52" fillId="2" borderId="1" xfId="0" applyNumberFormat="1" applyFont="1" applyFill="1" applyBorder="1" applyAlignment="1">
      <alignment horizontal="center" vertical="center"/>
    </xf>
    <xf numFmtId="4" fontId="52" fillId="0" borderId="1" xfId="0" applyNumberFormat="1" applyFont="1" applyBorder="1" applyAlignment="1">
      <alignment vertical="center" wrapText="1"/>
    </xf>
    <xf numFmtId="0" fontId="57" fillId="0" borderId="0" xfId="0" applyFont="1" applyFill="1" applyAlignment="1">
      <alignment vertical="center"/>
    </xf>
    <xf numFmtId="4" fontId="57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165" fontId="13" fillId="4" borderId="48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20" fillId="4" borderId="49" xfId="0" applyNumberFormat="1" applyFont="1" applyFill="1" applyBorder="1" applyAlignment="1">
      <alignment vertical="center"/>
    </xf>
    <xf numFmtId="165" fontId="20" fillId="6" borderId="35" xfId="0" applyNumberFormat="1" applyFont="1" applyFill="1" applyBorder="1" applyAlignment="1">
      <alignment vertical="center"/>
    </xf>
    <xf numFmtId="165" fontId="14" fillId="6" borderId="48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0" fontId="13" fillId="4" borderId="46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20" fillId="4" borderId="50" xfId="0" applyFont="1" applyFill="1" applyBorder="1" applyAlignment="1">
      <alignment horizontal="left" vertical="center" indent="2"/>
    </xf>
    <xf numFmtId="0" fontId="48" fillId="0" borderId="3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9" fontId="42" fillId="2" borderId="1" xfId="0" applyNumberFormat="1" applyFont="1" applyFill="1" applyBorder="1" applyAlignment="1">
      <alignment horizontal="center" vertical="center"/>
    </xf>
    <xf numFmtId="9" fontId="41" fillId="2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0" borderId="29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20" fillId="2" borderId="37" xfId="0" applyNumberFormat="1" applyFont="1" applyFill="1" applyBorder="1" applyAlignment="1">
      <alignment horizontal="center" vertical="center"/>
    </xf>
    <xf numFmtId="0" fontId="21" fillId="3" borderId="29" xfId="0" applyNumberFormat="1" applyFont="1" applyFill="1" applyBorder="1" applyAlignment="1">
      <alignment horizontal="center" vertical="center"/>
    </xf>
    <xf numFmtId="0" fontId="20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20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20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20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20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38" fillId="7" borderId="4" xfId="0" applyNumberFormat="1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 wrapText="1"/>
    </xf>
    <xf numFmtId="0" fontId="40" fillId="0" borderId="4" xfId="0" applyNumberFormat="1" applyFont="1" applyBorder="1" applyAlignment="1">
      <alignment horizontal="center"/>
    </xf>
    <xf numFmtId="0" fontId="40" fillId="0" borderId="4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166" fontId="40" fillId="0" borderId="4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left" vertical="center" wrapText="1"/>
    </xf>
    <xf numFmtId="4" fontId="37" fillId="0" borderId="4" xfId="0" applyNumberFormat="1" applyFont="1" applyFill="1" applyBorder="1" applyAlignment="1">
      <alignment vertical="center"/>
    </xf>
    <xf numFmtId="4" fontId="37" fillId="0" borderId="7" xfId="0" applyNumberFormat="1" applyFont="1" applyFill="1" applyBorder="1" applyAlignment="1">
      <alignment vertical="center"/>
    </xf>
    <xf numFmtId="9" fontId="37" fillId="7" borderId="4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25" fillId="0" borderId="0" xfId="0" applyFont="1" applyAlignment="1">
      <alignment horizontal="left" vertical="center"/>
    </xf>
    <xf numFmtId="9" fontId="25" fillId="0" borderId="0" xfId="2" applyFont="1" applyAlignment="1">
      <alignment horizontal="left" vertical="center"/>
    </xf>
    <xf numFmtId="4" fontId="25" fillId="0" borderId="0" xfId="0" applyNumberFormat="1" applyFont="1" applyAlignment="1">
      <alignment horizontal="left" vertical="center"/>
    </xf>
    <xf numFmtId="0" fontId="38" fillId="0" borderId="4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0" fillId="0" borderId="1" xfId="0" applyNumberFormat="1" applyFont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 wrapText="1"/>
    </xf>
    <xf numFmtId="0" fontId="0" fillId="7" borderId="4" xfId="0" applyFont="1" applyFill="1" applyBorder="1" applyAlignment="1">
      <alignment horizontal="left" vertical="center" wrapText="1"/>
    </xf>
    <xf numFmtId="0" fontId="40" fillId="0" borderId="4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 shrinkToFit="1"/>
    </xf>
    <xf numFmtId="0" fontId="52" fillId="0" borderId="9" xfId="0" applyFont="1" applyFill="1" applyBorder="1" applyAlignment="1">
      <alignment horizontal="center" vertical="center" wrapText="1" shrinkToFit="1"/>
    </xf>
    <xf numFmtId="0" fontId="52" fillId="0" borderId="3" xfId="0" applyFont="1" applyFill="1" applyBorder="1" applyAlignment="1">
      <alignment horizontal="center" vertical="center" wrapText="1" shrinkToFit="1"/>
    </xf>
    <xf numFmtId="0" fontId="56" fillId="0" borderId="2" xfId="0" applyFont="1" applyFill="1" applyBorder="1" applyAlignment="1">
      <alignment horizontal="center" vertical="center" wrapText="1" shrinkToFit="1"/>
    </xf>
    <xf numFmtId="0" fontId="56" fillId="0" borderId="9" xfId="0" applyFont="1" applyFill="1" applyBorder="1" applyAlignment="1">
      <alignment horizontal="center" vertical="center" wrapText="1" shrinkToFit="1"/>
    </xf>
    <xf numFmtId="0" fontId="56" fillId="0" borderId="3" xfId="0" applyFont="1" applyFill="1" applyBorder="1" applyAlignment="1">
      <alignment horizontal="center" vertical="center" wrapText="1" shrinkToFi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0" fontId="37" fillId="0" borderId="9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54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shrinkToFit="1"/>
    </xf>
    <xf numFmtId="0" fontId="49" fillId="0" borderId="0" xfId="0" applyFont="1" applyAlignment="1">
      <alignment vertical="center" shrinkToFit="1"/>
    </xf>
    <xf numFmtId="0" fontId="49" fillId="0" borderId="0" xfId="0" applyFont="1" applyAlignment="1">
      <alignment vertical="center"/>
    </xf>
    <xf numFmtId="0" fontId="51" fillId="0" borderId="6" xfId="0" applyFont="1" applyFill="1" applyBorder="1" applyAlignment="1">
      <alignment vertical="center" shrinkToFit="1"/>
    </xf>
    <xf numFmtId="0" fontId="51" fillId="0" borderId="6" xfId="0" applyFont="1" applyBorder="1" applyAlignment="1">
      <alignment vertical="center"/>
    </xf>
    <xf numFmtId="0" fontId="58" fillId="0" borderId="6" xfId="0" applyFont="1" applyBorder="1" applyAlignment="1">
      <alignment vertical="center"/>
    </xf>
    <xf numFmtId="0" fontId="52" fillId="0" borderId="2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Dziesiętny" xfId="5" builtinId="3"/>
    <cellStyle name="Dziesiętny 2" xfId="4"/>
    <cellStyle name="Normalny" xfId="0" builtinId="0"/>
    <cellStyle name="Normalny 2" xfId="3"/>
    <cellStyle name="Normalny 3" xfId="1"/>
    <cellStyle name="Procentowy 2" xfId="2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X47"/>
  <sheetViews>
    <sheetView tabSelected="1" view="pageBreakPreview" zoomScale="90" zoomScaleNormal="100" zoomScaleSheetLayoutView="90" workbookViewId="0">
      <selection activeCell="C4" sqref="C4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18</v>
      </c>
      <c r="B1" s="420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461"/>
      <c r="G2" s="462"/>
      <c r="H2" s="462"/>
      <c r="I2" s="462"/>
      <c r="J2" s="462"/>
      <c r="K2" s="462"/>
      <c r="L2" s="462"/>
      <c r="M2" s="462"/>
      <c r="N2" s="463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464"/>
      <c r="G3" s="465"/>
      <c r="H3" s="465"/>
      <c r="I3" s="465"/>
      <c r="J3" s="465"/>
      <c r="K3" s="465"/>
      <c r="L3" s="465"/>
      <c r="M3" s="465"/>
      <c r="N3" s="466"/>
      <c r="X3" s="9"/>
    </row>
    <row r="4" spans="1:24">
      <c r="A4" s="12" t="s">
        <v>526</v>
      </c>
      <c r="B4" s="421"/>
      <c r="C4" s="13"/>
      <c r="D4" s="13"/>
      <c r="E4" s="13"/>
      <c r="F4" s="464"/>
      <c r="G4" s="465"/>
      <c r="H4" s="465"/>
      <c r="I4" s="465"/>
      <c r="J4" s="465"/>
      <c r="K4" s="465"/>
      <c r="L4" s="465"/>
      <c r="M4" s="465"/>
      <c r="N4" s="466"/>
      <c r="X4" s="14"/>
    </row>
    <row r="5" spans="1:24">
      <c r="A5" s="13"/>
      <c r="B5" s="421"/>
      <c r="C5" s="13"/>
      <c r="D5" s="13"/>
      <c r="E5" s="13"/>
      <c r="F5" s="464"/>
      <c r="G5" s="465"/>
      <c r="H5" s="465"/>
      <c r="I5" s="465"/>
      <c r="J5" s="465"/>
      <c r="K5" s="465"/>
      <c r="L5" s="465"/>
      <c r="M5" s="465"/>
      <c r="N5" s="466"/>
      <c r="X5" s="9"/>
    </row>
    <row r="6" spans="1:24">
      <c r="A6" s="12" t="s">
        <v>522</v>
      </c>
      <c r="B6" s="421"/>
      <c r="C6" s="13"/>
      <c r="D6" s="13"/>
      <c r="E6" s="13"/>
      <c r="F6" s="464"/>
      <c r="G6" s="465"/>
      <c r="H6" s="465"/>
      <c r="I6" s="465"/>
      <c r="J6" s="465"/>
      <c r="K6" s="465"/>
      <c r="L6" s="465"/>
      <c r="M6" s="465"/>
      <c r="N6" s="466"/>
      <c r="X6" s="14"/>
    </row>
    <row r="7" spans="1:24" ht="15.75" thickBot="1">
      <c r="A7" s="13"/>
      <c r="B7" s="421"/>
      <c r="C7" s="13"/>
      <c r="D7" s="13"/>
      <c r="E7" s="13"/>
      <c r="F7" s="467" t="s">
        <v>19</v>
      </c>
      <c r="G7" s="468"/>
      <c r="H7" s="468"/>
      <c r="I7" s="468"/>
      <c r="J7" s="468"/>
      <c r="K7" s="468"/>
      <c r="L7" s="468"/>
      <c r="M7" s="468"/>
      <c r="N7" s="469"/>
      <c r="X7" s="9"/>
    </row>
    <row r="8" spans="1:24">
      <c r="A8" s="13"/>
      <c r="B8" s="421"/>
      <c r="C8" s="13"/>
      <c r="D8" s="13"/>
      <c r="E8" s="13"/>
      <c r="F8" s="15"/>
      <c r="G8" s="15"/>
      <c r="H8" s="15"/>
      <c r="I8" s="15"/>
      <c r="J8" s="15"/>
      <c r="K8" s="15"/>
      <c r="L8" s="15"/>
      <c r="M8" s="15"/>
      <c r="N8" s="15"/>
      <c r="X8" s="9"/>
    </row>
    <row r="9" spans="1:24" ht="20.100000000000001" customHeight="1" thickBot="1">
      <c r="A9" s="12" t="s">
        <v>0</v>
      </c>
      <c r="B9" s="421"/>
      <c r="C9" s="13"/>
      <c r="D9" s="13"/>
      <c r="E9" s="13"/>
      <c r="F9" s="15"/>
      <c r="G9" s="15"/>
      <c r="H9" s="15"/>
      <c r="I9" s="15"/>
      <c r="J9" s="15"/>
      <c r="K9" s="15"/>
      <c r="L9" s="15"/>
      <c r="M9" s="15"/>
      <c r="N9" s="15"/>
      <c r="X9" s="9"/>
    </row>
    <row r="10" spans="1:24" ht="20.100000000000001" customHeight="1">
      <c r="A10" s="470" t="s">
        <v>1</v>
      </c>
      <c r="B10" s="472" t="s">
        <v>34</v>
      </c>
      <c r="C10" s="474" t="s">
        <v>20</v>
      </c>
      <c r="D10" s="476" t="s">
        <v>21</v>
      </c>
      <c r="E10" s="478" t="s">
        <v>22</v>
      </c>
      <c r="F10" s="480" t="s">
        <v>12</v>
      </c>
      <c r="G10" s="481"/>
      <c r="H10" s="481"/>
      <c r="I10" s="481"/>
      <c r="J10" s="481"/>
      <c r="K10" s="481"/>
      <c r="L10" s="481"/>
      <c r="M10" s="481"/>
      <c r="N10" s="481"/>
      <c r="O10" s="482"/>
      <c r="P10" s="28"/>
      <c r="Q10" s="28"/>
      <c r="R10" s="2"/>
      <c r="S10" s="2"/>
      <c r="T10" s="2"/>
      <c r="U10" s="2"/>
      <c r="X10" s="9"/>
    </row>
    <row r="11" spans="1:24" s="1" customFormat="1" ht="20.100000000000001" customHeight="1" thickBot="1">
      <c r="A11" s="471"/>
      <c r="B11" s="473"/>
      <c r="C11" s="475"/>
      <c r="D11" s="477"/>
      <c r="E11" s="479"/>
      <c r="F11" s="53">
        <v>2019</v>
      </c>
      <c r="G11" s="54">
        <v>2020</v>
      </c>
      <c r="H11" s="54">
        <v>2021</v>
      </c>
      <c r="I11" s="54">
        <v>2022</v>
      </c>
      <c r="J11" s="54">
        <v>2023</v>
      </c>
      <c r="K11" s="54">
        <v>2024</v>
      </c>
      <c r="L11" s="54">
        <v>2025</v>
      </c>
      <c r="M11" s="54">
        <v>2026</v>
      </c>
      <c r="N11" s="54">
        <v>2027</v>
      </c>
      <c r="O11" s="55">
        <v>2028</v>
      </c>
      <c r="P11" s="15"/>
      <c r="Q11" s="15"/>
      <c r="R11" s="15"/>
      <c r="S11" s="15"/>
      <c r="T11" s="15"/>
      <c r="U11" s="15"/>
      <c r="V11" s="16"/>
      <c r="W11" s="16"/>
      <c r="X11" s="16"/>
    </row>
    <row r="12" spans="1:24" ht="39.950000000000003" customHeight="1" thickTop="1">
      <c r="A12" s="57" t="s">
        <v>36</v>
      </c>
      <c r="B12" s="422">
        <f>COUNTA('pow podst'!K3:K37)</f>
        <v>35</v>
      </c>
      <c r="C12" s="58">
        <f>SUM('pow podst'!J3:J37)</f>
        <v>312240175</v>
      </c>
      <c r="D12" s="59">
        <f>SUM('pow podst'!L3:L37)</f>
        <v>149700336.97999996</v>
      </c>
      <c r="E12" s="60">
        <f>SUM('pow podst'!K3:K37)</f>
        <v>162539838.02000007</v>
      </c>
      <c r="F12" s="61">
        <f>SUM('pow podst'!N3:N37)</f>
        <v>23060229.150000002</v>
      </c>
      <c r="G12" s="58">
        <f>SUM('pow podst'!O3:O37)</f>
        <v>91891130.770000011</v>
      </c>
      <c r="H12" s="58">
        <f>SUM('pow podst'!P3:P37)</f>
        <v>36436713.600000001</v>
      </c>
      <c r="I12" s="58">
        <f>SUM('pow podst'!Q3:Q37)</f>
        <v>11151764.5</v>
      </c>
      <c r="J12" s="58">
        <f>SUM('pow podst'!R3:R37)</f>
        <v>0</v>
      </c>
      <c r="K12" s="58">
        <f>SUM('pow podst'!S3:S37)</f>
        <v>0</v>
      </c>
      <c r="L12" s="58">
        <f>SUM('pow podst'!T3:T37)</f>
        <v>0</v>
      </c>
      <c r="M12" s="58">
        <f>SUM('pow podst'!U3:U37)</f>
        <v>0</v>
      </c>
      <c r="N12" s="58">
        <f>SUM('pow podst'!V3:V37)</f>
        <v>0</v>
      </c>
      <c r="O12" s="62">
        <f>SUM('pow podst'!W3:W37)</f>
        <v>0</v>
      </c>
      <c r="P12" s="17" t="b">
        <f>C12=(D12+E12)</f>
        <v>1</v>
      </c>
      <c r="Q12" s="35" t="b">
        <f>E12=SUM(F12:O12)</f>
        <v>1</v>
      </c>
      <c r="R12" s="18"/>
      <c r="S12" s="18"/>
      <c r="T12" s="19"/>
      <c r="U12" s="19"/>
      <c r="V12" s="20"/>
      <c r="W12" s="9"/>
      <c r="X12" s="9"/>
    </row>
    <row r="13" spans="1:24" ht="39.950000000000003" customHeight="1">
      <c r="A13" s="63" t="s">
        <v>37</v>
      </c>
      <c r="B13" s="423">
        <f>COUNTIF('pow podst'!C3:C37,"K")</f>
        <v>15</v>
      </c>
      <c r="C13" s="96">
        <f>SUMIF('pow podst'!C3:C37,"K",'pow podst'!J3:J37)</f>
        <v>186715345</v>
      </c>
      <c r="D13" s="97">
        <f>SUMIF('pow podst'!C3:C37,"K",'pow podst'!L3:L37)</f>
        <v>93750792.879999995</v>
      </c>
      <c r="E13" s="39">
        <f>SUMIF('pow podst'!C3:C37,"K",'pow podst'!K3:K37)</f>
        <v>92964552.120000005</v>
      </c>
      <c r="F13" s="102">
        <f>SUMIF('pow podst'!$C$3:$C$37,"K",'pow podst'!N3:N37)</f>
        <v>23060229.150000002</v>
      </c>
      <c r="G13" s="96">
        <f>SUMIF('pow podst'!$C$3:$C$37,"K",'pow podst'!O3:O37)</f>
        <v>43327319.270000003</v>
      </c>
      <c r="H13" s="96">
        <f>SUMIF('pow podst'!$C$3:$C$37,"K",'pow podst'!P3:P37)</f>
        <v>17925239.200000003</v>
      </c>
      <c r="I13" s="96">
        <f>SUMIF('pow podst'!$C$3:$C$37,"K",'pow podst'!Q3:Q37)</f>
        <v>8651764.5</v>
      </c>
      <c r="J13" s="96">
        <f>SUMIF('pow podst'!$C$3:$C$37,"K",'pow podst'!R3:R37)</f>
        <v>0</v>
      </c>
      <c r="K13" s="96">
        <f>SUMIF('pow podst'!$C$3:$C$37,"K",'pow podst'!S3:S37)</f>
        <v>0</v>
      </c>
      <c r="L13" s="96">
        <f>SUMIF('pow podst'!$C$3:$C$37,"K",'pow podst'!T3:T37)</f>
        <v>0</v>
      </c>
      <c r="M13" s="96">
        <f>SUMIF('pow podst'!$C$3:$C$37,"K",'pow podst'!U3:U37)</f>
        <v>0</v>
      </c>
      <c r="N13" s="96">
        <f>SUMIF('pow podst'!$C$3:$C$37,"K",'pow podst'!V3:V37)</f>
        <v>0</v>
      </c>
      <c r="O13" s="103">
        <f>SUMIF('pow podst'!$C$3:$C$37,"K",'pow podst'!W3:W37)</f>
        <v>0</v>
      </c>
      <c r="P13" s="17" t="b">
        <f t="shared" ref="P13:P22" si="0">C13=(D13+E13)</f>
        <v>1</v>
      </c>
      <c r="Q13" s="35" t="b">
        <f t="shared" ref="Q13:Q19" si="1">E13=SUM(F13:O13)</f>
        <v>1</v>
      </c>
      <c r="R13" s="18"/>
      <c r="S13" s="18"/>
      <c r="T13" s="19"/>
      <c r="U13" s="19"/>
      <c r="V13" s="20"/>
      <c r="W13" s="9"/>
      <c r="X13" s="9"/>
    </row>
    <row r="14" spans="1:24" ht="39.950000000000003" customHeight="1">
      <c r="A14" s="64" t="s">
        <v>38</v>
      </c>
      <c r="B14" s="424">
        <f>COUNTIF('pow podst'!C3:C37,"N")</f>
        <v>15</v>
      </c>
      <c r="C14" s="98">
        <f>SUMIF('pow podst'!C3:C37,"N",'pow podst'!J3:J37)</f>
        <v>63696166</v>
      </c>
      <c r="D14" s="99">
        <f>SUMIF('pow podst'!C3:C37,"N",'pow podst'!L3:L37)</f>
        <v>25833566.999999996</v>
      </c>
      <c r="E14" s="38">
        <f>SUMIF('pow podst'!C3:C37,"N",'pow podst'!K3:K37)</f>
        <v>37862599</v>
      </c>
      <c r="F14" s="104">
        <f>SUMIF('pow podst'!$C$3:$C$37,"N",'pow podst'!N3:N37)</f>
        <v>0</v>
      </c>
      <c r="G14" s="98">
        <f>SUMIF('pow podst'!$C$3:$C$37,"N",'pow podst'!O3:O37)</f>
        <v>37862599</v>
      </c>
      <c r="H14" s="98">
        <f>SUMIF('pow podst'!$C$3:$C$37,"N",'pow podst'!P3:P37)</f>
        <v>0</v>
      </c>
      <c r="I14" s="98">
        <f>SUMIF('pow podst'!$C$3:$C$37,"N",'pow podst'!Q3:Q37)</f>
        <v>0</v>
      </c>
      <c r="J14" s="98">
        <f>SUMIF('pow podst'!$C$3:$C$37,"N",'pow podst'!R3:R37)</f>
        <v>0</v>
      </c>
      <c r="K14" s="98">
        <f>SUMIF('pow podst'!$C$3:$C$37,"N",'pow podst'!S3:S37)</f>
        <v>0</v>
      </c>
      <c r="L14" s="98">
        <f>SUMIF('pow podst'!$C$3:$C$37,"N",'pow podst'!T3:T37)</f>
        <v>0</v>
      </c>
      <c r="M14" s="98">
        <f>SUMIF('pow podst'!$C$3:$C$37,"N",'pow podst'!U3:U37)</f>
        <v>0</v>
      </c>
      <c r="N14" s="98">
        <f>SUMIF('pow podst'!$C$3:$C$37,"N",'pow podst'!V3:V37)</f>
        <v>0</v>
      </c>
      <c r="O14" s="105">
        <f>SUMIF('pow podst'!$C$3:$C$37,"N",'pow podst'!W3:W37)</f>
        <v>0</v>
      </c>
      <c r="P14" s="17" t="b">
        <f t="shared" si="0"/>
        <v>1</v>
      </c>
      <c r="Q14" s="35" t="b">
        <f t="shared" si="1"/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 thickBot="1">
      <c r="A15" s="65" t="s">
        <v>39</v>
      </c>
      <c r="B15" s="425">
        <f>COUNTIF('pow podst'!C3:C37,"W")</f>
        <v>5</v>
      </c>
      <c r="C15" s="100">
        <f>SUMIF('pow podst'!C18:C37,"W",'pow podst'!J18:J37)</f>
        <v>61828664</v>
      </c>
      <c r="D15" s="101">
        <f>SUMIF('pow podst'!C18:C37,"W",'pow podst'!L18:L37)</f>
        <v>30115977.100000001</v>
      </c>
      <c r="E15" s="66">
        <f>SUMIF('pow podst'!C18:C37,"W",'pow podst'!K18:K37)</f>
        <v>31712686.899999999</v>
      </c>
      <c r="F15" s="106">
        <f>SUMIF('pow podst'!$C$3:$C$37,"W",'pow podst'!N3:N37)</f>
        <v>0</v>
      </c>
      <c r="G15" s="100">
        <f>SUMIF('pow podst'!$C$3:$C$37,"W",'pow podst'!O3:O37)</f>
        <v>10701212.5</v>
      </c>
      <c r="H15" s="100">
        <f>SUMIF('pow podst'!$C$3:$C$37,"W",'pow podst'!P3:P37)</f>
        <v>18511474.399999999</v>
      </c>
      <c r="I15" s="100">
        <f>SUMIF('pow podst'!$C$3:$C$37,"W",'pow podst'!Q3:Q37)</f>
        <v>2500000</v>
      </c>
      <c r="J15" s="100">
        <f>SUMIF('pow podst'!$C$3:$C$37,"W",'pow podst'!R3:R37)</f>
        <v>0</v>
      </c>
      <c r="K15" s="100">
        <f>SUMIF('pow podst'!$C$3:$C$37,"W",'pow podst'!S3:S37)</f>
        <v>0</v>
      </c>
      <c r="L15" s="100">
        <f>SUMIF('pow podst'!$C$3:$C$37,"W",'pow podst'!T3:T37)</f>
        <v>0</v>
      </c>
      <c r="M15" s="100">
        <f>SUMIF('pow podst'!$C$3:$C$37,"W",'pow podst'!U3:U37)</f>
        <v>0</v>
      </c>
      <c r="N15" s="100">
        <f>SUMIF('pow podst'!$C$3:$C$37,"W",'pow podst'!V3:V37)</f>
        <v>0</v>
      </c>
      <c r="O15" s="107">
        <f>SUMIF('pow podst'!$C$3:$C$37,"W",'pow podst'!W3:W37)</f>
        <v>0</v>
      </c>
      <c r="P15" s="17" t="b">
        <f t="shared" si="0"/>
        <v>1</v>
      </c>
      <c r="Q15" s="35" t="b">
        <f t="shared" si="1"/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 thickTop="1">
      <c r="A16" s="57" t="s">
        <v>40</v>
      </c>
      <c r="B16" s="422">
        <f>COUNTA('gm podst'!L3:L71)</f>
        <v>69</v>
      </c>
      <c r="C16" s="58">
        <f>SUM('gm podst'!K3:K71)</f>
        <v>175154727.15000001</v>
      </c>
      <c r="D16" s="59">
        <f>SUM('gm podst'!M3:M71)</f>
        <v>75700102.600000009</v>
      </c>
      <c r="E16" s="60">
        <f>SUM('gm podst'!L3:L71)</f>
        <v>99454624.549999982</v>
      </c>
      <c r="F16" s="108">
        <f>SUM('gm podst'!O3:O71)</f>
        <v>6092613.1999999993</v>
      </c>
      <c r="G16" s="109">
        <f>SUM('gm podst'!P3:P71)</f>
        <v>68898122.399999991</v>
      </c>
      <c r="H16" s="109">
        <f>SUM('gm podst'!Q3:Q71)</f>
        <v>21264069.5</v>
      </c>
      <c r="I16" s="109">
        <f>SUM('gm podst'!R3:R71)</f>
        <v>3199819.4499999997</v>
      </c>
      <c r="J16" s="109">
        <f>SUM('gm podst'!S3:S71)</f>
        <v>0</v>
      </c>
      <c r="K16" s="109">
        <f>SUM('gm podst'!T3:T71)</f>
        <v>0</v>
      </c>
      <c r="L16" s="109">
        <f>SUM('gm podst'!U3:U71)</f>
        <v>0</v>
      </c>
      <c r="M16" s="109">
        <f>SUM('gm podst'!V3:V71)</f>
        <v>0</v>
      </c>
      <c r="N16" s="109">
        <f>SUM('gm podst'!W3:W71)</f>
        <v>0</v>
      </c>
      <c r="O16" s="110">
        <f>SUM('gm podst'!X3:X71)</f>
        <v>0</v>
      </c>
      <c r="P16" s="17" t="b">
        <f t="shared" si="0"/>
        <v>1</v>
      </c>
      <c r="Q16" s="35" t="b">
        <f t="shared" si="1"/>
        <v>1</v>
      </c>
      <c r="R16" s="18"/>
      <c r="S16" s="18"/>
      <c r="T16" s="19"/>
      <c r="U16" s="19"/>
      <c r="V16" s="19"/>
      <c r="W16" s="19"/>
      <c r="X16" s="19"/>
    </row>
    <row r="17" spans="1:24" ht="39.950000000000003" customHeight="1">
      <c r="A17" s="63" t="s">
        <v>37</v>
      </c>
      <c r="B17" s="423">
        <f>COUNTIF('gm podst'!C3:C71,"K")</f>
        <v>17</v>
      </c>
      <c r="C17" s="96">
        <f>SUMIF('gm podst'!C3:C71,"K",'gm podst'!K3:K71)</f>
        <v>60324682.149999999</v>
      </c>
      <c r="D17" s="97">
        <f>SUMIF('gm podst'!C3:C71,"K",'gm podst'!M3:M71)</f>
        <v>25196491.530000005</v>
      </c>
      <c r="E17" s="39">
        <f>SUMIF('gm podst'!C3:C71,"K",'gm podst'!L3:L71)</f>
        <v>35128190.619999997</v>
      </c>
      <c r="F17" s="102">
        <f>SUMIF('gm podst'!$C$3:$C$71,"K",'gm podst'!O3:O71)</f>
        <v>6092613.1999999993</v>
      </c>
      <c r="G17" s="96">
        <f>SUMIF('gm podst'!$C$3:$C$71,"K",'gm podst'!P3:P71)</f>
        <v>14409782.619999999</v>
      </c>
      <c r="H17" s="96">
        <f>SUMIF('gm podst'!$C$3:$C$71,"K",'gm podst'!Q3:Q71)</f>
        <v>11890289.200000001</v>
      </c>
      <c r="I17" s="96">
        <f>SUMIF('gm podst'!$C$3:$C$71,"K",'gm podst'!R3:R71)</f>
        <v>2735505.5999999996</v>
      </c>
      <c r="J17" s="96">
        <f>SUMIF('gm podst'!$C$3:$C$71,"K",'gm podst'!S3:S71)</f>
        <v>0</v>
      </c>
      <c r="K17" s="96">
        <f>SUMIF('gm podst'!$C$3:$C$71,"K",'gm podst'!T3:T71)</f>
        <v>0</v>
      </c>
      <c r="L17" s="96">
        <f>SUMIF('gm podst'!$C$3:$C$71,"K",'gm podst'!U3:U71)</f>
        <v>0</v>
      </c>
      <c r="M17" s="96">
        <f>SUMIF('gm podst'!$C$3:$C$71,"K",'gm podst'!V3:V71)</f>
        <v>0</v>
      </c>
      <c r="N17" s="96">
        <f>SUMIF('gm podst'!$C$3:$C$71,"K",'gm podst'!W3:W71)</f>
        <v>0</v>
      </c>
      <c r="O17" s="103">
        <f>SUMIF('gm podst'!$C$3:$C$71,"K",'gm podst'!X3:X71)</f>
        <v>0</v>
      </c>
      <c r="P17" s="17" t="b">
        <f t="shared" si="0"/>
        <v>1</v>
      </c>
      <c r="Q17" s="35" t="b">
        <f t="shared" si="1"/>
        <v>1</v>
      </c>
      <c r="R17" s="18"/>
      <c r="S17" s="18"/>
      <c r="T17" s="19"/>
      <c r="U17" s="19"/>
      <c r="V17" s="19"/>
      <c r="W17" s="19"/>
      <c r="X17" s="19"/>
    </row>
    <row r="18" spans="1:24" ht="39.950000000000003" customHeight="1">
      <c r="A18" s="64" t="s">
        <v>38</v>
      </c>
      <c r="B18" s="424">
        <f>COUNTIF('gm podst'!C3:C71,"N")</f>
        <v>44</v>
      </c>
      <c r="C18" s="98">
        <f>SUMIF('gm podst'!C3:C71,"N",'gm podst'!K3:K71)</f>
        <v>76189453</v>
      </c>
      <c r="D18" s="99">
        <f>SUMIF('gm podst'!C3:C71,"N",'gm podst'!M3:M71)</f>
        <v>29232725.299999997</v>
      </c>
      <c r="E18" s="38">
        <f>SUMIF('gm podst'!C3:C71,"N",'gm podst'!L3:L71)</f>
        <v>46956727.700000003</v>
      </c>
      <c r="F18" s="104">
        <f>SUMIF('gm podst'!$C$3:$C$71,"N",'gm podst'!O3:O71)</f>
        <v>0</v>
      </c>
      <c r="G18" s="98">
        <f>SUMIF('gm podst'!$C$3:$C$71,"N",'gm podst'!P3:P71)</f>
        <v>46956727.700000003</v>
      </c>
      <c r="H18" s="98">
        <f>SUMIF('gm podst'!$C$3:$C$71,"N",'gm podst'!Q3:Q71)</f>
        <v>0</v>
      </c>
      <c r="I18" s="98">
        <f>SUMIF('gm podst'!$C$3:$C$71,"N",'gm podst'!R3:R71)</f>
        <v>0</v>
      </c>
      <c r="J18" s="98">
        <f>SUMIF('gm podst'!$C$3:$C$71,"N",'gm podst'!S3:S71)</f>
        <v>0</v>
      </c>
      <c r="K18" s="98">
        <f>SUMIF('gm podst'!$C$3:$C$71,"N",'gm podst'!T3:T71)</f>
        <v>0</v>
      </c>
      <c r="L18" s="98">
        <f>SUMIF('gm podst'!$C$3:$C$71,"N",'gm podst'!U3:U71)</f>
        <v>0</v>
      </c>
      <c r="M18" s="98">
        <f>SUMIF('gm podst'!$C$3:$C$71,"N",'gm podst'!V3:V71)</f>
        <v>0</v>
      </c>
      <c r="N18" s="98">
        <f>SUMIF('gm podst'!$C$3:$C$71,"N",'gm podst'!W3:W71)</f>
        <v>0</v>
      </c>
      <c r="O18" s="105">
        <f>SUMIF('gm podst'!$C$3:$C$71,"N",'gm podst'!X3:X71)</f>
        <v>0</v>
      </c>
      <c r="P18" s="17" t="b">
        <f t="shared" si="0"/>
        <v>1</v>
      </c>
      <c r="Q18" s="35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 thickBot="1">
      <c r="A19" s="65" t="s">
        <v>39</v>
      </c>
      <c r="B19" s="425">
        <f>COUNTIF('gm podst'!C3:C71,"W")</f>
        <v>8</v>
      </c>
      <c r="C19" s="100">
        <f>SUMIF('gm podst'!C3:C71,"W",'gm podst'!K3:K71)</f>
        <v>38640592</v>
      </c>
      <c r="D19" s="101">
        <f>SUMIF('gm podst'!C3:C71,"W",'gm podst'!M3:M71)</f>
        <v>21270885.77</v>
      </c>
      <c r="E19" s="66">
        <f>SUMIF('gm podst'!C3:C71,"W",'gm podst'!L3:L71)</f>
        <v>17369706.23</v>
      </c>
      <c r="F19" s="106">
        <f>SUMIF('gm podst'!$C$3:$C$71,"W",'gm podst'!O3:O71)</f>
        <v>0</v>
      </c>
      <c r="G19" s="100">
        <f>SUMIF('gm podst'!$C$3:$C$71,"W",'gm podst'!P3:P71)</f>
        <v>7531612.0800000001</v>
      </c>
      <c r="H19" s="100">
        <f>SUMIF('gm podst'!$C$3:$C$71,"W",'gm podst'!Q3:Q71)</f>
        <v>9373780.3000000007</v>
      </c>
      <c r="I19" s="100">
        <f>SUMIF('gm podst'!$C$3:$C$71,"W",'gm podst'!R3:R71)</f>
        <v>464313.85</v>
      </c>
      <c r="J19" s="100">
        <f>SUMIF('gm podst'!$C$3:$C$71,"W",'gm podst'!S3:S71)</f>
        <v>0</v>
      </c>
      <c r="K19" s="100">
        <f>SUMIF('gm podst'!$C$3:$C$71,"W",'gm podst'!T3:T71)</f>
        <v>0</v>
      </c>
      <c r="L19" s="100">
        <f>SUMIF('gm podst'!$C$3:$C$71,"W",'gm podst'!U3:U71)</f>
        <v>0</v>
      </c>
      <c r="M19" s="100">
        <f>SUMIF('gm podst'!$C$3:$C$71,"W",'gm podst'!V3:V71)</f>
        <v>0</v>
      </c>
      <c r="N19" s="100">
        <f>SUMIF('gm podst'!$C$3:$C$71,"W",'gm podst'!W3:W71)</f>
        <v>0</v>
      </c>
      <c r="O19" s="107">
        <f>SUMIF('gm podst'!$C$3:$C$71,"W",'gm podst'!X3:X71)</f>
        <v>0</v>
      </c>
      <c r="P19" s="17" t="b">
        <f t="shared" si="0"/>
        <v>1</v>
      </c>
      <c r="Q19" s="35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s="23" customFormat="1" ht="39.950000000000003" customHeight="1" thickTop="1">
      <c r="A20" s="67" t="s">
        <v>41</v>
      </c>
      <c r="B20" s="426">
        <f>B12+B16</f>
        <v>104</v>
      </c>
      <c r="C20" s="68">
        <f>C12+C16</f>
        <v>487394902.14999998</v>
      </c>
      <c r="D20" s="69">
        <f t="shared" ref="C20:O22" si="2">D12+D16</f>
        <v>225400439.57999998</v>
      </c>
      <c r="E20" s="70">
        <f t="shared" si="2"/>
        <v>261994462.57000005</v>
      </c>
      <c r="F20" s="71">
        <f t="shared" si="2"/>
        <v>29152842.350000001</v>
      </c>
      <c r="G20" s="68">
        <f>G12+G16</f>
        <v>160789253.17000002</v>
      </c>
      <c r="H20" s="68">
        <f t="shared" si="2"/>
        <v>57700783.100000001</v>
      </c>
      <c r="I20" s="68">
        <f t="shared" si="2"/>
        <v>14351583.949999999</v>
      </c>
      <c r="J20" s="68">
        <f t="shared" si="2"/>
        <v>0</v>
      </c>
      <c r="K20" s="68">
        <f t="shared" si="2"/>
        <v>0</v>
      </c>
      <c r="L20" s="68">
        <f t="shared" si="2"/>
        <v>0</v>
      </c>
      <c r="M20" s="68">
        <f t="shared" si="2"/>
        <v>0</v>
      </c>
      <c r="N20" s="68">
        <f t="shared" si="2"/>
        <v>0</v>
      </c>
      <c r="O20" s="72">
        <f t="shared" si="2"/>
        <v>0</v>
      </c>
      <c r="P20" s="17" t="b">
        <f t="shared" si="0"/>
        <v>1</v>
      </c>
      <c r="Q20" s="35" t="b">
        <f t="shared" ref="Q20:Q22" si="3">E20=SUM(F20:O20)</f>
        <v>1</v>
      </c>
      <c r="R20" s="21"/>
      <c r="S20" s="21"/>
      <c r="T20" s="22"/>
      <c r="U20" s="22"/>
      <c r="V20" s="22"/>
      <c r="W20" s="22"/>
      <c r="X20" s="22"/>
    </row>
    <row r="21" spans="1:24" s="23" customFormat="1" ht="39.950000000000003" customHeight="1">
      <c r="A21" s="73" t="s">
        <v>37</v>
      </c>
      <c r="B21" s="427">
        <f>B13+B17</f>
        <v>32</v>
      </c>
      <c r="C21" s="44">
        <f t="shared" si="2"/>
        <v>247040027.15000001</v>
      </c>
      <c r="D21" s="47">
        <f t="shared" si="2"/>
        <v>118947284.41</v>
      </c>
      <c r="E21" s="39">
        <f t="shared" si="2"/>
        <v>128092742.74000001</v>
      </c>
      <c r="F21" s="50">
        <f t="shared" si="2"/>
        <v>29152842.350000001</v>
      </c>
      <c r="G21" s="44">
        <f t="shared" si="2"/>
        <v>57737101.890000001</v>
      </c>
      <c r="H21" s="44">
        <f t="shared" si="2"/>
        <v>29815528.400000006</v>
      </c>
      <c r="I21" s="44">
        <f t="shared" si="2"/>
        <v>11387270.1</v>
      </c>
      <c r="J21" s="44">
        <f t="shared" si="2"/>
        <v>0</v>
      </c>
      <c r="K21" s="44">
        <f t="shared" si="2"/>
        <v>0</v>
      </c>
      <c r="L21" s="44">
        <f t="shared" si="2"/>
        <v>0</v>
      </c>
      <c r="M21" s="44">
        <f t="shared" si="2"/>
        <v>0</v>
      </c>
      <c r="N21" s="44">
        <f t="shared" si="2"/>
        <v>0</v>
      </c>
      <c r="O21" s="74">
        <f t="shared" si="2"/>
        <v>0</v>
      </c>
      <c r="P21" s="17" t="b">
        <f t="shared" si="0"/>
        <v>1</v>
      </c>
      <c r="Q21" s="35" t="b">
        <f t="shared" si="3"/>
        <v>1</v>
      </c>
      <c r="R21" s="21"/>
      <c r="S21" s="21"/>
      <c r="T21" s="22"/>
      <c r="U21" s="22"/>
      <c r="V21" s="22"/>
      <c r="W21" s="22"/>
      <c r="X21" s="22"/>
    </row>
    <row r="22" spans="1:24" s="23" customFormat="1" ht="39.950000000000003" customHeight="1">
      <c r="A22" s="75" t="s">
        <v>38</v>
      </c>
      <c r="B22" s="428">
        <f>B14+B18</f>
        <v>59</v>
      </c>
      <c r="C22" s="46">
        <f t="shared" si="2"/>
        <v>139885619</v>
      </c>
      <c r="D22" s="48">
        <f t="shared" si="2"/>
        <v>55066292.299999997</v>
      </c>
      <c r="E22" s="38">
        <f t="shared" si="2"/>
        <v>84819326.700000003</v>
      </c>
      <c r="F22" s="51">
        <f t="shared" si="2"/>
        <v>0</v>
      </c>
      <c r="G22" s="46">
        <f t="shared" si="2"/>
        <v>84819326.700000003</v>
      </c>
      <c r="H22" s="46">
        <f t="shared" si="2"/>
        <v>0</v>
      </c>
      <c r="I22" s="46">
        <f t="shared" si="2"/>
        <v>0</v>
      </c>
      <c r="J22" s="46">
        <f t="shared" si="2"/>
        <v>0</v>
      </c>
      <c r="K22" s="46">
        <f t="shared" si="2"/>
        <v>0</v>
      </c>
      <c r="L22" s="46">
        <f t="shared" si="2"/>
        <v>0</v>
      </c>
      <c r="M22" s="46">
        <f t="shared" si="2"/>
        <v>0</v>
      </c>
      <c r="N22" s="46">
        <f t="shared" si="2"/>
        <v>0</v>
      </c>
      <c r="O22" s="76">
        <f t="shared" si="2"/>
        <v>0</v>
      </c>
      <c r="P22" s="17" t="b">
        <f t="shared" si="0"/>
        <v>1</v>
      </c>
      <c r="Q22" s="35" t="b">
        <f t="shared" si="3"/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 thickBot="1">
      <c r="A23" s="77" t="s">
        <v>39</v>
      </c>
      <c r="B23" s="429">
        <f>B15+B19</f>
        <v>13</v>
      </c>
      <c r="C23" s="78">
        <f t="shared" ref="C23:O23" si="4">C15+C19</f>
        <v>100469256</v>
      </c>
      <c r="D23" s="79">
        <f t="shared" si="4"/>
        <v>51386862.870000005</v>
      </c>
      <c r="E23" s="66">
        <f t="shared" si="4"/>
        <v>49082393.129999995</v>
      </c>
      <c r="F23" s="80">
        <f t="shared" si="4"/>
        <v>0</v>
      </c>
      <c r="G23" s="78">
        <f t="shared" si="4"/>
        <v>18232824.579999998</v>
      </c>
      <c r="H23" s="78">
        <f t="shared" si="4"/>
        <v>27885254.699999999</v>
      </c>
      <c r="I23" s="78">
        <f t="shared" si="4"/>
        <v>2964313.85</v>
      </c>
      <c r="J23" s="78">
        <f t="shared" si="4"/>
        <v>0</v>
      </c>
      <c r="K23" s="78">
        <f t="shared" si="4"/>
        <v>0</v>
      </c>
      <c r="L23" s="78">
        <f t="shared" si="4"/>
        <v>0</v>
      </c>
      <c r="M23" s="78">
        <f t="shared" si="4"/>
        <v>0</v>
      </c>
      <c r="N23" s="78">
        <f t="shared" si="4"/>
        <v>0</v>
      </c>
      <c r="O23" s="81">
        <f t="shared" si="4"/>
        <v>0</v>
      </c>
      <c r="P23" s="17" t="b">
        <f t="shared" ref="P23" si="5">C23=(D23+E23)</f>
        <v>1</v>
      </c>
      <c r="Q23" s="35" t="b">
        <f t="shared" ref="Q23" si="6">E23=SUM(F23:O23)</f>
        <v>1</v>
      </c>
      <c r="R23" s="21"/>
      <c r="S23" s="21"/>
      <c r="T23" s="22"/>
      <c r="U23" s="22"/>
      <c r="V23" s="22"/>
      <c r="W23" s="22"/>
      <c r="X23" s="22"/>
    </row>
    <row r="24" spans="1:24" ht="39.950000000000003" customHeight="1" thickTop="1">
      <c r="A24" s="57" t="s">
        <v>2</v>
      </c>
      <c r="B24" s="422">
        <f>COUNTA('pow rez'!K3:K12)</f>
        <v>10</v>
      </c>
      <c r="C24" s="58">
        <f>SUM('pow rez'!J3:J12)</f>
        <v>83248423</v>
      </c>
      <c r="D24" s="59">
        <f>SUM('pow rez'!L3:L12)</f>
        <v>37804721.200000003</v>
      </c>
      <c r="E24" s="60">
        <f>SUM('pow rez'!K3:K12)</f>
        <v>45443701.799999997</v>
      </c>
      <c r="F24" s="61">
        <f>SUM('pow rez'!N3:N12)</f>
        <v>0</v>
      </c>
      <c r="G24" s="58">
        <f>SUM('pow rez'!O3:O12)</f>
        <v>29479350.550000001</v>
      </c>
      <c r="H24" s="58">
        <f>SUM('pow rez'!P3:P12)</f>
        <v>8264233</v>
      </c>
      <c r="I24" s="58">
        <f>SUM('pow rez'!Q3:Q12)</f>
        <v>2750058.85</v>
      </c>
      <c r="J24" s="58">
        <f>SUM('pow rez'!R3:R12)</f>
        <v>2750059.4</v>
      </c>
      <c r="K24" s="58">
        <f>SUM('pow rez'!S3:S12)</f>
        <v>2200000</v>
      </c>
      <c r="L24" s="58">
        <f>SUM('pow rez'!T3:T12)</f>
        <v>0</v>
      </c>
      <c r="M24" s="58">
        <f>SUM('pow rez'!U3:U12)</f>
        <v>0</v>
      </c>
      <c r="N24" s="58">
        <f>SUM('pow rez'!V3:V12)</f>
        <v>0</v>
      </c>
      <c r="O24" s="62">
        <f>SUM('pow rez'!W3:W12)</f>
        <v>0</v>
      </c>
      <c r="P24" s="17" t="b">
        <f t="shared" ref="P24:P36" si="7">C24=(D24+E24)</f>
        <v>1</v>
      </c>
      <c r="Q24" s="35" t="b">
        <f t="shared" ref="Q24:Q36" si="8">E24=SUM(F24:O24)</f>
        <v>1</v>
      </c>
      <c r="R24" s="18"/>
      <c r="S24" s="18"/>
      <c r="T24" s="19"/>
      <c r="U24" s="19"/>
      <c r="V24" s="19"/>
      <c r="W24" s="19"/>
      <c r="X24" s="19"/>
    </row>
    <row r="25" spans="1:24" ht="39.950000000000003" customHeight="1">
      <c r="A25" s="64" t="s">
        <v>38</v>
      </c>
      <c r="B25" s="424">
        <f>COUNTIF('pow rez'!C3:C12,"N")</f>
        <v>6</v>
      </c>
      <c r="C25" s="98">
        <f>SUMIF('pow rez'!C3:C12,"N",'pow rez'!J3:J12)</f>
        <v>36114310</v>
      </c>
      <c r="D25" s="99">
        <f>SUMIF('pow rez'!C3:C12,"N",'pow rez'!L3:L12)</f>
        <v>15728800.300000001</v>
      </c>
      <c r="E25" s="38">
        <f>SUMIF('pow rez'!C3:C12,"N",'pow rez'!K3:K12)</f>
        <v>20385509.699999999</v>
      </c>
      <c r="F25" s="104">
        <f>SUMIF('pow rez'!$C$3:$C$12,"N",'pow rez'!N3:N12)</f>
        <v>0</v>
      </c>
      <c r="G25" s="98">
        <f>SUMIF('pow rez'!$C$3:$C$12,"N",'pow rez'!O3:O12)</f>
        <v>20385509.699999999</v>
      </c>
      <c r="H25" s="98">
        <f>SUMIF('pow rez'!$C$3:$C$12,"N",'pow rez'!P3:P12)</f>
        <v>0</v>
      </c>
      <c r="I25" s="98">
        <f>SUMIF('pow rez'!$C$3:$C$12,"N",'pow rez'!Q3:Q12)</f>
        <v>0</v>
      </c>
      <c r="J25" s="98">
        <f>SUMIF('pow rez'!$C$3:$C$12,"N",'pow rez'!R3:R12)</f>
        <v>0</v>
      </c>
      <c r="K25" s="98">
        <f>SUMIF('pow rez'!$C$3:$C$12,"N",'pow rez'!S3:S12)</f>
        <v>0</v>
      </c>
      <c r="L25" s="98">
        <f>SUMIF('pow rez'!$C$3:$C$12,"N",'pow rez'!T3:T12)</f>
        <v>0</v>
      </c>
      <c r="M25" s="98">
        <f>SUMIF('pow rez'!$C$3:$C$12,"N",'pow rez'!U3:U12)</f>
        <v>0</v>
      </c>
      <c r="N25" s="98">
        <f>SUMIF('pow rez'!$C$3:$C$12,"N",'pow rez'!V3:V12)</f>
        <v>0</v>
      </c>
      <c r="O25" s="105">
        <f>SUMIF('pow rez'!$C$3:$C$12,"N",'pow rez'!W3:W12)</f>
        <v>0</v>
      </c>
      <c r="P25" s="17" t="b">
        <f t="shared" si="7"/>
        <v>1</v>
      </c>
      <c r="Q25" s="35" t="b">
        <f t="shared" si="8"/>
        <v>1</v>
      </c>
      <c r="R25" s="18"/>
      <c r="S25" s="18"/>
      <c r="T25" s="19"/>
      <c r="U25" s="19"/>
      <c r="V25" s="19"/>
      <c r="W25" s="19"/>
      <c r="X25" s="19"/>
    </row>
    <row r="26" spans="1:24" ht="39.950000000000003" customHeight="1" thickBot="1">
      <c r="A26" s="65" t="s">
        <v>39</v>
      </c>
      <c r="B26" s="425">
        <f>COUNTIF('pow rez'!C3:C12,"W")</f>
        <v>4</v>
      </c>
      <c r="C26" s="100">
        <f>SUMIF('pow rez'!C3:C12,"W",'pow rez'!J3:J12)</f>
        <v>47134113</v>
      </c>
      <c r="D26" s="101">
        <f>SUMIF('pow rez'!C3:C12,"W",'pow rez'!L3:L12)</f>
        <v>22075920.899999999</v>
      </c>
      <c r="E26" s="66">
        <f>SUMIF('pow rez'!C3:C12,"W",'pow rez'!K3:K12)</f>
        <v>25058192.100000001</v>
      </c>
      <c r="F26" s="106">
        <f>SUMIF('pow rez'!$C$3:$C$12,"W",'pow rez'!N3:N12)</f>
        <v>0</v>
      </c>
      <c r="G26" s="100">
        <f>SUMIF('pow rez'!$C$3:$C$12,"W",'pow rez'!O3:O12)</f>
        <v>9093840.8499999996</v>
      </c>
      <c r="H26" s="100">
        <f>SUMIF('pow rez'!$C$3:$C$12,"W",'pow rez'!P3:P12)</f>
        <v>8264233</v>
      </c>
      <c r="I26" s="100">
        <f>SUMIF('pow rez'!$C$3:$C$12,"W",'pow rez'!Q3:Q12)</f>
        <v>2750058.85</v>
      </c>
      <c r="J26" s="96">
        <f>SUMIF('pow rez'!$C$3:$C$12,"W",'pow rez'!R3:R12)</f>
        <v>2750059.4</v>
      </c>
      <c r="K26" s="100">
        <f>SUMIF('pow rez'!$C$3:$C$12,"W",'pow rez'!S3:S12)</f>
        <v>2200000</v>
      </c>
      <c r="L26" s="100">
        <f>SUMIF('pow rez'!$C$3:$C$12,"W",'pow rez'!T3:T12)</f>
        <v>0</v>
      </c>
      <c r="M26" s="100">
        <f>SUMIF('pow rez'!$C$3:$C$12,"W",'pow rez'!U3:U12)</f>
        <v>0</v>
      </c>
      <c r="N26" s="100">
        <f>SUMIF('pow rez'!$C$3:$C$12,"W",'pow rez'!V3:V12)</f>
        <v>0</v>
      </c>
      <c r="O26" s="107">
        <f>SUMIF('pow rez'!$C$3:$C$12,"W",'pow rez'!W3:W12)</f>
        <v>0</v>
      </c>
      <c r="P26" s="17" t="b">
        <f t="shared" si="7"/>
        <v>1</v>
      </c>
      <c r="Q26" s="35" t="b">
        <f t="shared" si="8"/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 thickTop="1">
      <c r="A27" s="57" t="s">
        <v>3</v>
      </c>
      <c r="B27" s="422">
        <f>COUNTA('gm rez'!L3:L20)</f>
        <v>18</v>
      </c>
      <c r="C27" s="58">
        <f>SUM('gm rez'!K3:K20)</f>
        <v>97421662</v>
      </c>
      <c r="D27" s="59">
        <f>SUM('gm rez'!M3:M20)</f>
        <v>48423722.539999999</v>
      </c>
      <c r="E27" s="60">
        <f>SUM('gm rez'!L3:L20)</f>
        <v>48997939.460000001</v>
      </c>
      <c r="F27" s="61">
        <f>SUM('gm rez'!O3:O20)</f>
        <v>0</v>
      </c>
      <c r="G27" s="58">
        <f>SUM('gm rez'!P3:P20)</f>
        <v>32088035.810000002</v>
      </c>
      <c r="H27" s="58">
        <f>SUM('gm rez'!Q3:Q20)</f>
        <v>11815213.15</v>
      </c>
      <c r="I27" s="58">
        <f>SUM('gm rez'!R3:R20)</f>
        <v>5094690.5</v>
      </c>
      <c r="J27" s="58">
        <f>SUM('gm rez'!S3:S20)</f>
        <v>0</v>
      </c>
      <c r="K27" s="58">
        <f>SUM('gm rez'!T3:T20)</f>
        <v>0</v>
      </c>
      <c r="L27" s="58">
        <f>SUM('gm rez'!U3:U20)</f>
        <v>0</v>
      </c>
      <c r="M27" s="58">
        <f>SUM('gm rez'!V3:V20)</f>
        <v>0</v>
      </c>
      <c r="N27" s="58">
        <f>SUM('gm rez'!W3:W20)</f>
        <v>0</v>
      </c>
      <c r="O27" s="62">
        <f>SUM('gm rez'!X3:X20)</f>
        <v>0</v>
      </c>
      <c r="P27" s="17" t="b">
        <f t="shared" si="7"/>
        <v>1</v>
      </c>
      <c r="Q27" s="35" t="b">
        <f t="shared" si="8"/>
        <v>1</v>
      </c>
      <c r="R27" s="24"/>
      <c r="S27" s="24"/>
      <c r="T27" s="25"/>
      <c r="U27" s="25"/>
      <c r="V27" s="20"/>
      <c r="W27" s="9"/>
      <c r="X27" s="9"/>
    </row>
    <row r="28" spans="1:24" ht="39.950000000000003" customHeight="1">
      <c r="A28" s="64" t="s">
        <v>38</v>
      </c>
      <c r="B28" s="424">
        <f>COUNTIF('gm rez'!C3:C20,"N")</f>
        <v>10</v>
      </c>
      <c r="C28" s="98">
        <f>SUMIF('gm rez'!C3:C20,"N",'gm rez'!K3:K20)</f>
        <v>42600107</v>
      </c>
      <c r="D28" s="99">
        <f>SUMIF('gm rez'!C3:C20,"N",'gm rez'!M3:M20)</f>
        <v>21796048.239999995</v>
      </c>
      <c r="E28" s="38">
        <f>SUMIF('gm rez'!C3:C20,"N",'gm rez'!L3:L20)</f>
        <v>20804058.760000005</v>
      </c>
      <c r="F28" s="104">
        <f>SUMIF('gm rez'!C3:C20,"N",'gm rez'!O3:O20)</f>
        <v>0</v>
      </c>
      <c r="G28" s="98">
        <f>SUMIF('gm rez'!C3:C20,"N",'gm rez'!P3:P20)</f>
        <v>20804058.760000005</v>
      </c>
      <c r="H28" s="98">
        <f>SUMIF('gm rez'!C3:C20,"N",'gm rez'!Q3:Q20)</f>
        <v>0</v>
      </c>
      <c r="I28" s="98">
        <f>SUMIF('gm rez'!D3:D20,"N",'gm rez'!R3:R20)</f>
        <v>0</v>
      </c>
      <c r="J28" s="98">
        <f>SUMIF('gm rez'!E3:E20,"N",'gm rez'!S3:S20)</f>
        <v>0</v>
      </c>
      <c r="K28" s="98">
        <f>SUMIF('gm rez'!F3:F20,"N",'gm rez'!T3:T20)</f>
        <v>0</v>
      </c>
      <c r="L28" s="98">
        <f>SUMIF('gm rez'!G3:G20,"N",'gm rez'!U3:U20)</f>
        <v>0</v>
      </c>
      <c r="M28" s="98">
        <f>SUMIF('gm rez'!H3:H20,"N",'gm rez'!V3:V20)</f>
        <v>0</v>
      </c>
      <c r="N28" s="98">
        <f>SUMIF('gm rez'!I3:I20,"N",'gm rez'!W3:W20)</f>
        <v>0</v>
      </c>
      <c r="O28" s="105">
        <f>SUMIF('gm rez'!J3:J20,"N",'gm rez'!X3:X20)</f>
        <v>0</v>
      </c>
      <c r="P28" s="17" t="b">
        <f t="shared" si="7"/>
        <v>1</v>
      </c>
      <c r="Q28" s="35" t="b">
        <f t="shared" si="8"/>
        <v>1</v>
      </c>
      <c r="R28" s="24"/>
      <c r="S28" s="24"/>
      <c r="T28" s="25"/>
      <c r="U28" s="25"/>
      <c r="V28" s="20"/>
      <c r="W28" s="9"/>
      <c r="X28" s="9"/>
    </row>
    <row r="29" spans="1:24" ht="39.950000000000003" customHeight="1" thickBot="1">
      <c r="A29" s="65" t="s">
        <v>39</v>
      </c>
      <c r="B29" s="425">
        <f>COUNTIF('gm rez'!C3:C20,"W")</f>
        <v>8</v>
      </c>
      <c r="C29" s="100">
        <f>SUMIF('gm rez'!C3:C20,"W",'gm rez'!K3:K20)</f>
        <v>54821555</v>
      </c>
      <c r="D29" s="101">
        <f>SUMIF('gm rez'!C3:C20,"W",'gm rez'!M3:M20)</f>
        <v>26627674.300000001</v>
      </c>
      <c r="E29" s="66">
        <f>SUMIF('gm rez'!C3:C20,"W",'gm rez'!L3:L20)</f>
        <v>28193880.699999999</v>
      </c>
      <c r="F29" s="106">
        <f>SUMIF('gm rez'!C3:C20,"W",'gm rez'!O3:O20)</f>
        <v>0</v>
      </c>
      <c r="G29" s="100">
        <f>SUMIF('gm rez'!C3:C20,"W",'gm rez'!P3:P20)</f>
        <v>11283977.050000001</v>
      </c>
      <c r="H29" s="100">
        <f>SUMIF('gm rez'!C3:C20,"W",'gm rez'!Q3:Q20)</f>
        <v>11815213.15</v>
      </c>
      <c r="I29" s="100">
        <f>SUMIF('gm rez'!C3:C20,"W",'gm rez'!R3:R20)</f>
        <v>5094690.5</v>
      </c>
      <c r="J29" s="100">
        <f>SUMIF('gm rez'!E3:E20,"W",'gm rez'!S3:S20)</f>
        <v>0</v>
      </c>
      <c r="K29" s="100">
        <f>SUMIF('gm rez'!F3:F20,"W",'gm rez'!T3:T20)</f>
        <v>0</v>
      </c>
      <c r="L29" s="100">
        <f>SUMIF('gm rez'!G3:G20,"W",'gm rez'!U3:U20)</f>
        <v>0</v>
      </c>
      <c r="M29" s="100">
        <f>SUMIF('gm rez'!H3:H20,"W",'gm rez'!V3:V20)</f>
        <v>0</v>
      </c>
      <c r="N29" s="100">
        <f>SUMIF('gm rez'!I3:I20,"W",'gm rez'!W3:W20)</f>
        <v>0</v>
      </c>
      <c r="O29" s="107">
        <f>SUMIF('gm rez'!J3:J20,"W",'gm rez'!X3:X20)</f>
        <v>0</v>
      </c>
      <c r="P29" s="17" t="b">
        <f t="shared" si="7"/>
        <v>1</v>
      </c>
      <c r="Q29" s="35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 thickTop="1">
      <c r="A30" s="409" t="s">
        <v>523</v>
      </c>
      <c r="B30" s="430">
        <f>B24+B27</f>
        <v>28</v>
      </c>
      <c r="C30" s="82">
        <f t="shared" ref="C30:O30" si="9">C24+C27</f>
        <v>180670085</v>
      </c>
      <c r="D30" s="83">
        <f t="shared" si="9"/>
        <v>86228443.74000001</v>
      </c>
      <c r="E30" s="56">
        <f t="shared" si="9"/>
        <v>94441641.25999999</v>
      </c>
      <c r="F30" s="84">
        <f t="shared" si="9"/>
        <v>0</v>
      </c>
      <c r="G30" s="82">
        <f>G24+G27</f>
        <v>61567386.359999999</v>
      </c>
      <c r="H30" s="82">
        <f t="shared" si="9"/>
        <v>20079446.149999999</v>
      </c>
      <c r="I30" s="82">
        <f t="shared" si="9"/>
        <v>7844749.3499999996</v>
      </c>
      <c r="J30" s="82">
        <f t="shared" si="9"/>
        <v>2750059.4</v>
      </c>
      <c r="K30" s="82">
        <f t="shared" si="9"/>
        <v>2200000</v>
      </c>
      <c r="L30" s="82">
        <f t="shared" si="9"/>
        <v>0</v>
      </c>
      <c r="M30" s="82">
        <f t="shared" si="9"/>
        <v>0</v>
      </c>
      <c r="N30" s="82">
        <f t="shared" si="9"/>
        <v>0</v>
      </c>
      <c r="O30" s="403">
        <f t="shared" si="9"/>
        <v>0</v>
      </c>
      <c r="P30" s="17" t="b">
        <f t="shared" si="7"/>
        <v>1</v>
      </c>
      <c r="Q30" s="35" t="b">
        <f t="shared" si="8"/>
        <v>1</v>
      </c>
      <c r="R30" s="26"/>
      <c r="S30" s="26"/>
      <c r="T30" s="2"/>
      <c r="U30" s="2"/>
    </row>
    <row r="31" spans="1:24" ht="39.950000000000003" customHeight="1">
      <c r="A31" s="410" t="s">
        <v>38</v>
      </c>
      <c r="B31" s="431">
        <f t="shared" ref="B31:O31" si="10">B25+B28</f>
        <v>16</v>
      </c>
      <c r="C31" s="45">
        <f t="shared" si="10"/>
        <v>78714417</v>
      </c>
      <c r="D31" s="49">
        <f t="shared" si="10"/>
        <v>37524848.539999992</v>
      </c>
      <c r="E31" s="38">
        <f t="shared" si="10"/>
        <v>41189568.460000008</v>
      </c>
      <c r="F31" s="52">
        <f t="shared" si="10"/>
        <v>0</v>
      </c>
      <c r="G31" s="45">
        <f t="shared" si="10"/>
        <v>41189568.460000008</v>
      </c>
      <c r="H31" s="45">
        <f t="shared" si="10"/>
        <v>0</v>
      </c>
      <c r="I31" s="45">
        <f t="shared" si="10"/>
        <v>0</v>
      </c>
      <c r="J31" s="45">
        <f>J25+J28</f>
        <v>0</v>
      </c>
      <c r="K31" s="45">
        <f t="shared" si="10"/>
        <v>0</v>
      </c>
      <c r="L31" s="45">
        <f t="shared" si="10"/>
        <v>0</v>
      </c>
      <c r="M31" s="45">
        <f t="shared" si="10"/>
        <v>0</v>
      </c>
      <c r="N31" s="45">
        <f t="shared" si="10"/>
        <v>0</v>
      </c>
      <c r="O31" s="404">
        <f t="shared" si="10"/>
        <v>0</v>
      </c>
      <c r="P31" s="17" t="b">
        <f t="shared" si="7"/>
        <v>1</v>
      </c>
      <c r="Q31" s="35" t="b">
        <f t="shared" si="8"/>
        <v>1</v>
      </c>
      <c r="R31" s="26"/>
      <c r="S31" s="26"/>
      <c r="T31" s="2"/>
      <c r="U31" s="2"/>
    </row>
    <row r="32" spans="1:24" ht="39.950000000000003" customHeight="1" thickBot="1">
      <c r="A32" s="411" t="s">
        <v>39</v>
      </c>
      <c r="B32" s="432">
        <f t="shared" ref="B32:O32" si="11">B26+B29</f>
        <v>12</v>
      </c>
      <c r="C32" s="85">
        <f t="shared" si="11"/>
        <v>101955668</v>
      </c>
      <c r="D32" s="86">
        <f t="shared" si="11"/>
        <v>48703595.200000003</v>
      </c>
      <c r="E32" s="87">
        <f t="shared" si="11"/>
        <v>53252072.799999997</v>
      </c>
      <c r="F32" s="88">
        <f t="shared" si="11"/>
        <v>0</v>
      </c>
      <c r="G32" s="85">
        <f t="shared" si="11"/>
        <v>20377817.899999999</v>
      </c>
      <c r="H32" s="85">
        <f t="shared" si="11"/>
        <v>20079446.149999999</v>
      </c>
      <c r="I32" s="85">
        <f t="shared" si="11"/>
        <v>7844749.3499999996</v>
      </c>
      <c r="J32" s="85">
        <f>J26+J29</f>
        <v>2750059.4</v>
      </c>
      <c r="K32" s="85">
        <f t="shared" si="11"/>
        <v>2200000</v>
      </c>
      <c r="L32" s="85">
        <f t="shared" si="11"/>
        <v>0</v>
      </c>
      <c r="M32" s="85">
        <f t="shared" si="11"/>
        <v>0</v>
      </c>
      <c r="N32" s="85">
        <f t="shared" si="11"/>
        <v>0</v>
      </c>
      <c r="O32" s="405">
        <f t="shared" si="11"/>
        <v>0</v>
      </c>
      <c r="P32" s="17" t="b">
        <f t="shared" si="7"/>
        <v>1</v>
      </c>
      <c r="Q32" s="35" t="b">
        <f t="shared" si="8"/>
        <v>1</v>
      </c>
      <c r="R32" s="26"/>
      <c r="S32" s="26"/>
      <c r="T32" s="2"/>
      <c r="U32" s="2"/>
    </row>
    <row r="33" spans="1:21" ht="39.950000000000003" customHeight="1" thickTop="1">
      <c r="A33" s="89" t="s">
        <v>524</v>
      </c>
      <c r="B33" s="433">
        <f>B20+B30</f>
        <v>132</v>
      </c>
      <c r="C33" s="90">
        <f t="shared" ref="C33:O33" si="12">C20+C30</f>
        <v>668064987.14999998</v>
      </c>
      <c r="D33" s="91">
        <f t="shared" si="12"/>
        <v>311628883.31999999</v>
      </c>
      <c r="E33" s="195">
        <f t="shared" si="12"/>
        <v>356436103.83000004</v>
      </c>
      <c r="F33" s="92">
        <f t="shared" si="12"/>
        <v>29152842.350000001</v>
      </c>
      <c r="G33" s="90">
        <f t="shared" si="12"/>
        <v>222356639.53000003</v>
      </c>
      <c r="H33" s="90">
        <f t="shared" si="12"/>
        <v>77780229.25</v>
      </c>
      <c r="I33" s="90">
        <f t="shared" si="12"/>
        <v>22196333.299999997</v>
      </c>
      <c r="J33" s="90">
        <f t="shared" si="12"/>
        <v>2750059.4</v>
      </c>
      <c r="K33" s="90">
        <f t="shared" si="12"/>
        <v>2200000</v>
      </c>
      <c r="L33" s="90">
        <f t="shared" si="12"/>
        <v>0</v>
      </c>
      <c r="M33" s="90">
        <f t="shared" si="12"/>
        <v>0</v>
      </c>
      <c r="N33" s="90">
        <f t="shared" si="12"/>
        <v>0</v>
      </c>
      <c r="O33" s="93">
        <f t="shared" si="12"/>
        <v>0</v>
      </c>
      <c r="P33" s="17" t="b">
        <f t="shared" si="7"/>
        <v>1</v>
      </c>
      <c r="Q33" s="35" t="b">
        <f t="shared" si="8"/>
        <v>1</v>
      </c>
      <c r="R33" s="26"/>
      <c r="S33" s="26"/>
      <c r="T33" s="2"/>
      <c r="U33" s="2"/>
    </row>
    <row r="34" spans="1:21" ht="39.950000000000003" customHeight="1">
      <c r="A34" s="275" t="s">
        <v>37</v>
      </c>
      <c r="B34" s="434">
        <f>B21</f>
        <v>32</v>
      </c>
      <c r="C34" s="276">
        <f t="shared" ref="C34:O34" si="13">C21</f>
        <v>247040027.15000001</v>
      </c>
      <c r="D34" s="276">
        <f t="shared" si="13"/>
        <v>118947284.41</v>
      </c>
      <c r="E34" s="276">
        <f t="shared" si="13"/>
        <v>128092742.74000001</v>
      </c>
      <c r="F34" s="276">
        <f t="shared" si="13"/>
        <v>29152842.350000001</v>
      </c>
      <c r="G34" s="276">
        <f t="shared" si="13"/>
        <v>57737101.890000001</v>
      </c>
      <c r="H34" s="276">
        <f t="shared" si="13"/>
        <v>29815528.400000006</v>
      </c>
      <c r="I34" s="276">
        <f t="shared" si="13"/>
        <v>11387270.1</v>
      </c>
      <c r="J34" s="276">
        <f t="shared" si="13"/>
        <v>0</v>
      </c>
      <c r="K34" s="276">
        <f t="shared" si="13"/>
        <v>0</v>
      </c>
      <c r="L34" s="276">
        <f t="shared" si="13"/>
        <v>0</v>
      </c>
      <c r="M34" s="276">
        <f t="shared" si="13"/>
        <v>0</v>
      </c>
      <c r="N34" s="276">
        <f t="shared" si="13"/>
        <v>0</v>
      </c>
      <c r="O34" s="406">
        <f t="shared" si="13"/>
        <v>0</v>
      </c>
      <c r="P34" s="17" t="b">
        <f t="shared" si="7"/>
        <v>1</v>
      </c>
      <c r="Q34" s="35" t="b">
        <f t="shared" si="8"/>
        <v>1</v>
      </c>
      <c r="R34" s="26"/>
      <c r="S34" s="26"/>
      <c r="T34" s="2"/>
      <c r="U34" s="2"/>
    </row>
    <row r="35" spans="1:21" ht="39.950000000000003" customHeight="1">
      <c r="A35" s="274" t="s">
        <v>38</v>
      </c>
      <c r="B35" s="435">
        <f>B22+B31</f>
        <v>75</v>
      </c>
      <c r="C35" s="273">
        <f t="shared" ref="C35:O36" si="14">C22+C31</f>
        <v>218600036</v>
      </c>
      <c r="D35" s="273">
        <f t="shared" si="14"/>
        <v>92591140.839999989</v>
      </c>
      <c r="E35" s="273">
        <f t="shared" si="14"/>
        <v>126008895.16000001</v>
      </c>
      <c r="F35" s="273">
        <f t="shared" si="14"/>
        <v>0</v>
      </c>
      <c r="G35" s="273">
        <f t="shared" si="14"/>
        <v>126008895.16000001</v>
      </c>
      <c r="H35" s="273">
        <f t="shared" si="14"/>
        <v>0</v>
      </c>
      <c r="I35" s="273">
        <f t="shared" si="14"/>
        <v>0</v>
      </c>
      <c r="J35" s="273">
        <f t="shared" si="14"/>
        <v>0</v>
      </c>
      <c r="K35" s="273">
        <f t="shared" si="14"/>
        <v>0</v>
      </c>
      <c r="L35" s="273">
        <f t="shared" si="14"/>
        <v>0</v>
      </c>
      <c r="M35" s="273">
        <f t="shared" si="14"/>
        <v>0</v>
      </c>
      <c r="N35" s="273">
        <f t="shared" si="14"/>
        <v>0</v>
      </c>
      <c r="O35" s="407">
        <f t="shared" si="14"/>
        <v>0</v>
      </c>
      <c r="P35" s="17" t="b">
        <f t="shared" si="7"/>
        <v>1</v>
      </c>
      <c r="Q35" s="35" t="b">
        <f t="shared" si="8"/>
        <v>1</v>
      </c>
      <c r="R35" s="26"/>
      <c r="S35" s="26"/>
      <c r="T35" s="2"/>
      <c r="U35" s="2"/>
    </row>
    <row r="36" spans="1:21" ht="39.950000000000003" customHeight="1" thickBot="1">
      <c r="A36" s="94" t="s">
        <v>39</v>
      </c>
      <c r="B36" s="436">
        <f>B23+B32</f>
        <v>25</v>
      </c>
      <c r="C36" s="95">
        <f t="shared" si="14"/>
        <v>202424924</v>
      </c>
      <c r="D36" s="95">
        <f t="shared" si="14"/>
        <v>100090458.07000001</v>
      </c>
      <c r="E36" s="95">
        <f t="shared" si="14"/>
        <v>102334465.92999999</v>
      </c>
      <c r="F36" s="95">
        <f t="shared" si="14"/>
        <v>0</v>
      </c>
      <c r="G36" s="95">
        <f t="shared" si="14"/>
        <v>38610642.479999997</v>
      </c>
      <c r="H36" s="95">
        <f t="shared" si="14"/>
        <v>47964700.849999994</v>
      </c>
      <c r="I36" s="95">
        <f t="shared" si="14"/>
        <v>10809063.199999999</v>
      </c>
      <c r="J36" s="95">
        <f t="shared" si="14"/>
        <v>2750059.4</v>
      </c>
      <c r="K36" s="95">
        <f t="shared" si="14"/>
        <v>2200000</v>
      </c>
      <c r="L36" s="95">
        <f t="shared" si="14"/>
        <v>0</v>
      </c>
      <c r="M36" s="95">
        <f t="shared" si="14"/>
        <v>0</v>
      </c>
      <c r="N36" s="95">
        <f t="shared" si="14"/>
        <v>0</v>
      </c>
      <c r="O36" s="408">
        <f t="shared" si="14"/>
        <v>0</v>
      </c>
      <c r="P36" s="17" t="b">
        <f t="shared" si="7"/>
        <v>1</v>
      </c>
      <c r="Q36" s="35" t="b">
        <f t="shared" si="8"/>
        <v>1</v>
      </c>
      <c r="R36" s="26"/>
      <c r="S36" s="26"/>
      <c r="T36" s="2"/>
      <c r="U36" s="2"/>
    </row>
    <row r="37" spans="1:21" ht="15.75" thickTop="1">
      <c r="A37" s="27"/>
      <c r="B37" s="43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6"/>
      <c r="S37" s="26"/>
      <c r="T37" s="2"/>
      <c r="U37" s="2"/>
    </row>
    <row r="38" spans="1:21">
      <c r="A38" s="27"/>
      <c r="B38" s="437" t="b">
        <f>B33=B34+B35+B36</f>
        <v>1</v>
      </c>
      <c r="C38" s="27" t="b">
        <f t="shared" ref="C38:O38" si="15">C33=C34+C35+C36</f>
        <v>1</v>
      </c>
      <c r="D38" s="27" t="b">
        <f t="shared" si="15"/>
        <v>1</v>
      </c>
      <c r="E38" s="27" t="b">
        <f t="shared" si="15"/>
        <v>1</v>
      </c>
      <c r="F38" s="27" t="b">
        <f t="shared" si="15"/>
        <v>1</v>
      </c>
      <c r="G38" s="27" t="b">
        <f t="shared" si="15"/>
        <v>1</v>
      </c>
      <c r="H38" s="27" t="b">
        <f t="shared" si="15"/>
        <v>1</v>
      </c>
      <c r="I38" s="27" t="b">
        <f t="shared" si="15"/>
        <v>1</v>
      </c>
      <c r="J38" s="27" t="b">
        <f t="shared" si="15"/>
        <v>1</v>
      </c>
      <c r="K38" s="27" t="b">
        <f t="shared" si="15"/>
        <v>1</v>
      </c>
      <c r="L38" s="27" t="b">
        <f t="shared" si="15"/>
        <v>1</v>
      </c>
      <c r="M38" s="27" t="b">
        <f t="shared" si="15"/>
        <v>1</v>
      </c>
      <c r="N38" s="27" t="b">
        <f t="shared" si="15"/>
        <v>1</v>
      </c>
      <c r="O38" s="27" t="b">
        <f t="shared" si="15"/>
        <v>1</v>
      </c>
      <c r="P38" s="27"/>
      <c r="Q38" s="27"/>
      <c r="R38" s="26"/>
      <c r="S38" s="26"/>
      <c r="T38" s="2"/>
      <c r="U38" s="2"/>
    </row>
    <row r="39" spans="1:21">
      <c r="A39" s="27"/>
      <c r="B39" s="437" t="b">
        <f>B21=B34</f>
        <v>1</v>
      </c>
      <c r="C39" s="27" t="b">
        <f t="shared" ref="C39:O39" si="16">C21=C34</f>
        <v>1</v>
      </c>
      <c r="D39" s="27" t="b">
        <f t="shared" si="16"/>
        <v>1</v>
      </c>
      <c r="E39" s="27" t="b">
        <f t="shared" si="16"/>
        <v>1</v>
      </c>
      <c r="F39" s="27" t="b">
        <f t="shared" si="16"/>
        <v>1</v>
      </c>
      <c r="G39" s="27" t="b">
        <f t="shared" si="16"/>
        <v>1</v>
      </c>
      <c r="H39" s="27" t="b">
        <f t="shared" si="16"/>
        <v>1</v>
      </c>
      <c r="I39" s="27" t="b">
        <f t="shared" si="16"/>
        <v>1</v>
      </c>
      <c r="J39" s="27" t="b">
        <f t="shared" si="16"/>
        <v>1</v>
      </c>
      <c r="K39" s="27" t="b">
        <f t="shared" si="16"/>
        <v>1</v>
      </c>
      <c r="L39" s="27" t="b">
        <f t="shared" si="16"/>
        <v>1</v>
      </c>
      <c r="M39" s="27" t="b">
        <f t="shared" si="16"/>
        <v>1</v>
      </c>
      <c r="N39" s="27" t="b">
        <f t="shared" si="16"/>
        <v>1</v>
      </c>
      <c r="O39" s="27" t="b">
        <f t="shared" si="16"/>
        <v>1</v>
      </c>
      <c r="P39" s="27"/>
      <c r="Q39" s="27"/>
      <c r="R39" s="26"/>
      <c r="S39" s="26"/>
      <c r="T39" s="2"/>
      <c r="U39" s="2"/>
    </row>
    <row r="40" spans="1:21">
      <c r="A40" s="27"/>
      <c r="B40" s="437" t="b">
        <f>B14+B18+B25+B28=B35</f>
        <v>1</v>
      </c>
      <c r="C40" s="27" t="b">
        <f t="shared" ref="C40:O41" si="17">C14+C18+C25+C28=C35</f>
        <v>1</v>
      </c>
      <c r="D40" s="27" t="b">
        <f t="shared" si="17"/>
        <v>1</v>
      </c>
      <c r="E40" s="27" t="b">
        <f t="shared" si="17"/>
        <v>1</v>
      </c>
      <c r="F40" s="27" t="b">
        <f t="shared" si="17"/>
        <v>1</v>
      </c>
      <c r="G40" s="27" t="b">
        <f t="shared" si="17"/>
        <v>1</v>
      </c>
      <c r="H40" s="27" t="b">
        <f t="shared" si="17"/>
        <v>1</v>
      </c>
      <c r="I40" s="27" t="b">
        <f t="shared" si="17"/>
        <v>1</v>
      </c>
      <c r="J40" s="27" t="b">
        <f t="shared" si="17"/>
        <v>1</v>
      </c>
      <c r="K40" s="27" t="b">
        <f t="shared" si="17"/>
        <v>1</v>
      </c>
      <c r="L40" s="27" t="b">
        <f t="shared" si="17"/>
        <v>1</v>
      </c>
      <c r="M40" s="27" t="b">
        <f t="shared" si="17"/>
        <v>1</v>
      </c>
      <c r="N40" s="27" t="b">
        <f t="shared" si="17"/>
        <v>1</v>
      </c>
      <c r="O40" s="27" t="b">
        <f t="shared" si="17"/>
        <v>1</v>
      </c>
      <c r="P40" s="27"/>
      <c r="Q40" s="27"/>
      <c r="R40" s="26"/>
      <c r="S40" s="26"/>
      <c r="T40" s="2"/>
      <c r="U40" s="2"/>
    </row>
    <row r="41" spans="1:21">
      <c r="A41" s="28"/>
      <c r="B41" s="438" t="b">
        <f>B15+B19+B26+B29=B36</f>
        <v>1</v>
      </c>
      <c r="C41" s="28" t="b">
        <f t="shared" si="17"/>
        <v>1</v>
      </c>
      <c r="D41" s="28" t="b">
        <f t="shared" si="17"/>
        <v>1</v>
      </c>
      <c r="E41" s="28" t="b">
        <f t="shared" si="17"/>
        <v>1</v>
      </c>
      <c r="F41" s="28" t="b">
        <f t="shared" si="17"/>
        <v>1</v>
      </c>
      <c r="G41" s="28" t="b">
        <f t="shared" si="17"/>
        <v>1</v>
      </c>
      <c r="H41" s="28" t="b">
        <f t="shared" si="17"/>
        <v>1</v>
      </c>
      <c r="I41" s="28" t="b">
        <f t="shared" si="17"/>
        <v>1</v>
      </c>
      <c r="J41" s="28" t="b">
        <f t="shared" si="17"/>
        <v>1</v>
      </c>
      <c r="K41" s="28" t="b">
        <f t="shared" si="17"/>
        <v>1</v>
      </c>
      <c r="L41" s="28" t="b">
        <f t="shared" si="17"/>
        <v>1</v>
      </c>
      <c r="M41" s="28" t="b">
        <f t="shared" si="17"/>
        <v>1</v>
      </c>
      <c r="N41" s="28" t="b">
        <f t="shared" si="17"/>
        <v>1</v>
      </c>
      <c r="O41" s="28" t="b">
        <f t="shared" si="17"/>
        <v>1</v>
      </c>
      <c r="P41" s="28"/>
      <c r="Q41" s="28"/>
      <c r="R41" s="2"/>
      <c r="S41" s="2"/>
      <c r="T41" s="2"/>
      <c r="U41" s="2"/>
    </row>
    <row r="42" spans="1:21">
      <c r="A42" s="28"/>
      <c r="B42" s="438" t="b">
        <f>B12=B13+B14+B15</f>
        <v>1</v>
      </c>
      <c r="C42" s="438" t="b">
        <f t="shared" ref="C42:O42" si="18">C12=C13+C14+C15</f>
        <v>1</v>
      </c>
      <c r="D42" s="438" t="b">
        <f t="shared" si="18"/>
        <v>1</v>
      </c>
      <c r="E42" s="438" t="b">
        <f t="shared" si="18"/>
        <v>1</v>
      </c>
      <c r="F42" s="438" t="b">
        <f t="shared" si="18"/>
        <v>1</v>
      </c>
      <c r="G42" s="438" t="b">
        <f t="shared" si="18"/>
        <v>1</v>
      </c>
      <c r="H42" s="438" t="b">
        <f t="shared" si="18"/>
        <v>1</v>
      </c>
      <c r="I42" s="438" t="b">
        <f t="shared" si="18"/>
        <v>1</v>
      </c>
      <c r="J42" s="438" t="b">
        <f t="shared" si="18"/>
        <v>1</v>
      </c>
      <c r="K42" s="438" t="b">
        <f t="shared" si="18"/>
        <v>1</v>
      </c>
      <c r="L42" s="438" t="b">
        <f t="shared" si="18"/>
        <v>1</v>
      </c>
      <c r="M42" s="438" t="b">
        <f t="shared" si="18"/>
        <v>1</v>
      </c>
      <c r="N42" s="438" t="b">
        <f t="shared" si="18"/>
        <v>1</v>
      </c>
      <c r="O42" s="438" t="b">
        <f t="shared" si="18"/>
        <v>1</v>
      </c>
      <c r="P42" s="28"/>
      <c r="Q42" s="28"/>
      <c r="R42" s="2"/>
      <c r="S42" s="2"/>
      <c r="T42" s="2"/>
      <c r="U42" s="2"/>
    </row>
    <row r="43" spans="1:21">
      <c r="A43" s="28"/>
      <c r="B43" s="438" t="b">
        <f>B16=B17+B18+B19</f>
        <v>1</v>
      </c>
      <c r="C43" s="438" t="b">
        <f t="shared" ref="C43:O43" si="19">C16=C17+C18+C19</f>
        <v>1</v>
      </c>
      <c r="D43" s="438" t="b">
        <f t="shared" si="19"/>
        <v>1</v>
      </c>
      <c r="E43" s="438" t="b">
        <f t="shared" si="19"/>
        <v>1</v>
      </c>
      <c r="F43" s="438" t="b">
        <f t="shared" si="19"/>
        <v>1</v>
      </c>
      <c r="G43" s="438" t="b">
        <f t="shared" si="19"/>
        <v>1</v>
      </c>
      <c r="H43" s="438" t="b">
        <f t="shared" si="19"/>
        <v>1</v>
      </c>
      <c r="I43" s="438" t="b">
        <f t="shared" si="19"/>
        <v>1</v>
      </c>
      <c r="J43" s="438" t="b">
        <f t="shared" si="19"/>
        <v>1</v>
      </c>
      <c r="K43" s="438" t="b">
        <f t="shared" si="19"/>
        <v>1</v>
      </c>
      <c r="L43" s="438" t="b">
        <f t="shared" si="19"/>
        <v>1</v>
      </c>
      <c r="M43" s="438" t="b">
        <f t="shared" si="19"/>
        <v>1</v>
      </c>
      <c r="N43" s="438" t="b">
        <f t="shared" si="19"/>
        <v>1</v>
      </c>
      <c r="O43" s="438" t="b">
        <f t="shared" si="19"/>
        <v>1</v>
      </c>
      <c r="P43" s="28"/>
      <c r="Q43" s="28"/>
      <c r="R43" s="2"/>
      <c r="S43" s="2"/>
      <c r="T43" s="2"/>
      <c r="U43" s="2"/>
    </row>
    <row r="44" spans="1:21">
      <c r="B44" s="1" t="b">
        <f>B20=B21+B22+B23</f>
        <v>1</v>
      </c>
      <c r="C44" s="1" t="b">
        <f t="shared" ref="C44:O44" si="20">C20=C21+C22+C23</f>
        <v>1</v>
      </c>
      <c r="D44" s="1" t="b">
        <f t="shared" si="20"/>
        <v>1</v>
      </c>
      <c r="E44" s="1" t="b">
        <f t="shared" si="20"/>
        <v>1</v>
      </c>
      <c r="F44" s="1" t="b">
        <f t="shared" si="20"/>
        <v>1</v>
      </c>
      <c r="G44" s="1" t="b">
        <f t="shared" si="20"/>
        <v>1</v>
      </c>
      <c r="H44" s="1" t="b">
        <f t="shared" si="20"/>
        <v>1</v>
      </c>
      <c r="I44" s="1" t="b">
        <f t="shared" si="20"/>
        <v>1</v>
      </c>
      <c r="J44" s="1" t="b">
        <f t="shared" si="20"/>
        <v>1</v>
      </c>
      <c r="K44" s="1" t="b">
        <f t="shared" si="20"/>
        <v>1</v>
      </c>
      <c r="L44" s="1" t="b">
        <f t="shared" si="20"/>
        <v>1</v>
      </c>
      <c r="M44" s="1" t="b">
        <f t="shared" si="20"/>
        <v>1</v>
      </c>
      <c r="N44" s="1" t="b">
        <f t="shared" si="20"/>
        <v>1</v>
      </c>
      <c r="O44" s="1" t="b">
        <f t="shared" si="20"/>
        <v>1</v>
      </c>
    </row>
    <row r="45" spans="1:21">
      <c r="B45" s="1" t="b">
        <f>B24=B25+B26</f>
        <v>1</v>
      </c>
      <c r="C45" s="1" t="b">
        <f t="shared" ref="C45:O45" si="21">C24=C25+C26</f>
        <v>1</v>
      </c>
      <c r="D45" s="1" t="b">
        <f t="shared" si="21"/>
        <v>1</v>
      </c>
      <c r="E45" s="1" t="b">
        <f t="shared" si="21"/>
        <v>1</v>
      </c>
      <c r="F45" s="1" t="b">
        <f t="shared" si="21"/>
        <v>1</v>
      </c>
      <c r="G45" s="1" t="b">
        <f t="shared" si="21"/>
        <v>1</v>
      </c>
      <c r="H45" s="1" t="b">
        <f t="shared" si="21"/>
        <v>1</v>
      </c>
      <c r="I45" s="1" t="b">
        <f t="shared" si="21"/>
        <v>1</v>
      </c>
      <c r="J45" s="1" t="b">
        <f t="shared" si="21"/>
        <v>1</v>
      </c>
      <c r="K45" s="1" t="b">
        <f t="shared" si="21"/>
        <v>1</v>
      </c>
      <c r="L45" s="1" t="b">
        <f t="shared" si="21"/>
        <v>1</v>
      </c>
      <c r="M45" s="1" t="b">
        <f t="shared" si="21"/>
        <v>1</v>
      </c>
      <c r="N45" s="1" t="b">
        <f t="shared" si="21"/>
        <v>1</v>
      </c>
      <c r="O45" s="1" t="b">
        <f t="shared" si="21"/>
        <v>1</v>
      </c>
    </row>
    <row r="46" spans="1:21">
      <c r="B46" s="1" t="b">
        <f>B27=B28+B29</f>
        <v>1</v>
      </c>
      <c r="C46" s="1" t="b">
        <f t="shared" ref="C46:O46" si="22">C27=C28+C29</f>
        <v>1</v>
      </c>
      <c r="D46" s="1" t="b">
        <f t="shared" si="22"/>
        <v>1</v>
      </c>
      <c r="E46" s="1" t="b">
        <f t="shared" si="22"/>
        <v>1</v>
      </c>
      <c r="F46" s="1" t="b">
        <f t="shared" si="22"/>
        <v>1</v>
      </c>
      <c r="G46" s="1" t="b">
        <f t="shared" si="22"/>
        <v>1</v>
      </c>
      <c r="H46" s="1" t="b">
        <f t="shared" si="22"/>
        <v>1</v>
      </c>
      <c r="I46" s="1" t="b">
        <f t="shared" si="22"/>
        <v>1</v>
      </c>
      <c r="J46" s="1" t="b">
        <f t="shared" si="22"/>
        <v>1</v>
      </c>
      <c r="K46" s="1" t="b">
        <f t="shared" si="22"/>
        <v>1</v>
      </c>
      <c r="L46" s="1" t="b">
        <f t="shared" si="22"/>
        <v>1</v>
      </c>
      <c r="M46" s="1" t="b">
        <f t="shared" si="22"/>
        <v>1</v>
      </c>
      <c r="N46" s="1" t="b">
        <f t="shared" si="22"/>
        <v>1</v>
      </c>
      <c r="O46" s="1" t="b">
        <f t="shared" si="22"/>
        <v>1</v>
      </c>
    </row>
    <row r="47" spans="1:21">
      <c r="B47" s="1" t="b">
        <f>B30=+B31+B32</f>
        <v>1</v>
      </c>
      <c r="C47" s="1" t="b">
        <f t="shared" ref="C47:O47" si="23">C30=+C31+C32</f>
        <v>1</v>
      </c>
      <c r="D47" s="1" t="b">
        <f t="shared" si="23"/>
        <v>1</v>
      </c>
      <c r="E47" s="1" t="b">
        <f t="shared" si="23"/>
        <v>1</v>
      </c>
      <c r="F47" s="1" t="b">
        <f t="shared" si="23"/>
        <v>1</v>
      </c>
      <c r="G47" s="1" t="b">
        <f t="shared" si="23"/>
        <v>1</v>
      </c>
      <c r="H47" s="1" t="b">
        <f t="shared" si="23"/>
        <v>1</v>
      </c>
      <c r="I47" s="1" t="b">
        <f t="shared" si="23"/>
        <v>1</v>
      </c>
      <c r="J47" s="1" t="b">
        <f t="shared" si="23"/>
        <v>1</v>
      </c>
      <c r="K47" s="1" t="b">
        <f t="shared" si="23"/>
        <v>1</v>
      </c>
      <c r="L47" s="1" t="b">
        <f t="shared" si="23"/>
        <v>1</v>
      </c>
      <c r="M47" s="1" t="b">
        <f t="shared" si="23"/>
        <v>1</v>
      </c>
      <c r="N47" s="1" t="b">
        <f t="shared" si="23"/>
        <v>1</v>
      </c>
      <c r="O47" s="1" t="b">
        <f t="shared" si="23"/>
        <v>1</v>
      </c>
    </row>
  </sheetData>
  <mergeCells count="8">
    <mergeCell ref="F2:N6"/>
    <mergeCell ref="F7:N7"/>
    <mergeCell ref="A10:A11"/>
    <mergeCell ref="B10:B11"/>
    <mergeCell ref="C10:C11"/>
    <mergeCell ref="D10:D11"/>
    <mergeCell ref="E10:E11"/>
    <mergeCell ref="F10:O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6"/>
  <sheetViews>
    <sheetView showGridLines="0" view="pageBreakPreview" zoomScale="115" zoomScaleNormal="78" zoomScaleSheetLayoutView="115" workbookViewId="0">
      <selection activeCell="F35" sqref="F35"/>
    </sheetView>
  </sheetViews>
  <sheetFormatPr defaultColWidth="9.140625" defaultRowHeight="15"/>
  <cols>
    <col min="1" max="1" width="5" style="1" customWidth="1"/>
    <col min="2" max="2" width="12" style="145" customWidth="1"/>
    <col min="3" max="3" width="12.42578125" style="1" customWidth="1"/>
    <col min="4" max="4" width="24.7109375" style="11" customWidth="1"/>
    <col min="5" max="5" width="10.7109375" style="36" customWidth="1"/>
    <col min="6" max="6" width="38.7109375" style="3" customWidth="1"/>
    <col min="7" max="7" width="8.7109375" style="1" customWidth="1"/>
    <col min="8" max="8" width="15.85546875" style="1" customWidth="1"/>
    <col min="9" max="9" width="15.85546875" style="277" customWidth="1"/>
    <col min="10" max="10" width="17" style="149" customWidth="1"/>
    <col min="11" max="11" width="12.5703125" style="143" customWidth="1"/>
    <col min="12" max="12" width="15.7109375" style="143" customWidth="1"/>
    <col min="13" max="13" width="12.28515625" style="151" customWidth="1"/>
    <col min="14" max="14" width="11.5703125" style="3" customWidth="1"/>
    <col min="15" max="16" width="12.28515625" style="3" bestFit="1" customWidth="1"/>
    <col min="17" max="17" width="11.28515625" style="3" bestFit="1" customWidth="1"/>
    <col min="18" max="23" width="9.85546875" style="3" customWidth="1"/>
    <col min="24" max="24" width="15.7109375" style="36" customWidth="1"/>
    <col min="25" max="26" width="15.7109375" style="1" customWidth="1"/>
    <col min="27" max="27" width="15.7109375" style="36" customWidth="1"/>
    <col min="28" max="16384" width="9.140625" style="3"/>
  </cols>
  <sheetData>
    <row r="1" spans="1:27" s="214" customFormat="1" ht="20.100000000000001" customHeight="1">
      <c r="A1" s="491" t="s">
        <v>4</v>
      </c>
      <c r="B1" s="491" t="s">
        <v>5</v>
      </c>
      <c r="C1" s="492" t="s">
        <v>43</v>
      </c>
      <c r="D1" s="489" t="s">
        <v>6</v>
      </c>
      <c r="E1" s="489" t="s">
        <v>33</v>
      </c>
      <c r="F1" s="489" t="s">
        <v>7</v>
      </c>
      <c r="G1" s="491" t="s">
        <v>26</v>
      </c>
      <c r="H1" s="491" t="s">
        <v>8</v>
      </c>
      <c r="I1" s="491" t="s">
        <v>23</v>
      </c>
      <c r="J1" s="491" t="s">
        <v>9</v>
      </c>
      <c r="K1" s="491" t="s">
        <v>16</v>
      </c>
      <c r="L1" s="489" t="s">
        <v>13</v>
      </c>
      <c r="M1" s="491" t="s">
        <v>11</v>
      </c>
      <c r="N1" s="491" t="s">
        <v>12</v>
      </c>
      <c r="O1" s="491"/>
      <c r="P1" s="491"/>
      <c r="Q1" s="491"/>
      <c r="R1" s="491"/>
      <c r="S1" s="491"/>
      <c r="T1" s="491"/>
      <c r="U1" s="491"/>
      <c r="V1" s="491"/>
      <c r="W1" s="491"/>
      <c r="X1" s="278"/>
      <c r="Y1" s="278"/>
      <c r="Z1" s="278"/>
      <c r="AA1" s="279"/>
    </row>
    <row r="2" spans="1:27" s="214" customFormat="1" ht="32.65" customHeight="1" thickBot="1">
      <c r="A2" s="491"/>
      <c r="B2" s="491"/>
      <c r="C2" s="493"/>
      <c r="D2" s="490"/>
      <c r="E2" s="490"/>
      <c r="F2" s="490"/>
      <c r="G2" s="491"/>
      <c r="H2" s="491"/>
      <c r="I2" s="491"/>
      <c r="J2" s="491"/>
      <c r="K2" s="491"/>
      <c r="L2" s="490"/>
      <c r="M2" s="491"/>
      <c r="N2" s="280">
        <v>2019</v>
      </c>
      <c r="O2" s="280">
        <v>2020</v>
      </c>
      <c r="P2" s="280">
        <v>2021</v>
      </c>
      <c r="Q2" s="280">
        <v>2022</v>
      </c>
      <c r="R2" s="280">
        <v>2023</v>
      </c>
      <c r="S2" s="412">
        <v>2024</v>
      </c>
      <c r="T2" s="280">
        <v>2025</v>
      </c>
      <c r="U2" s="280">
        <v>2026</v>
      </c>
      <c r="V2" s="280">
        <v>2027</v>
      </c>
      <c r="W2" s="280">
        <v>2028</v>
      </c>
      <c r="X2" s="278" t="s">
        <v>29</v>
      </c>
      <c r="Y2" s="278" t="s">
        <v>30</v>
      </c>
      <c r="Z2" s="278" t="s">
        <v>31</v>
      </c>
      <c r="AA2" s="281" t="s">
        <v>32</v>
      </c>
    </row>
    <row r="3" spans="1:27" s="130" customFormat="1" ht="57" thickTop="1">
      <c r="A3" s="282">
        <v>1</v>
      </c>
      <c r="B3" s="283" t="s">
        <v>392</v>
      </c>
      <c r="C3" s="282" t="s">
        <v>101</v>
      </c>
      <c r="D3" s="284" t="s">
        <v>76</v>
      </c>
      <c r="E3" s="285">
        <v>2403</v>
      </c>
      <c r="F3" s="286" t="s">
        <v>107</v>
      </c>
      <c r="G3" s="287" t="s">
        <v>122</v>
      </c>
      <c r="H3" s="288">
        <v>1.1779999999999999</v>
      </c>
      <c r="I3" s="287" t="s">
        <v>123</v>
      </c>
      <c r="J3" s="289">
        <v>9006527</v>
      </c>
      <c r="K3" s="289">
        <v>6304568.8999999994</v>
      </c>
      <c r="L3" s="289">
        <v>2701958.1000000006</v>
      </c>
      <c r="M3" s="348">
        <v>0.7</v>
      </c>
      <c r="N3" s="290">
        <v>32501.699999999997</v>
      </c>
      <c r="O3" s="290">
        <v>6272067.1999999993</v>
      </c>
      <c r="P3" s="290"/>
      <c r="Q3" s="289"/>
      <c r="R3" s="291"/>
      <c r="S3" s="292"/>
      <c r="T3" s="289"/>
      <c r="U3" s="289"/>
      <c r="V3" s="289"/>
      <c r="W3" s="289"/>
      <c r="X3" s="293" t="b">
        <f t="shared" ref="X3:X17" si="0">K3=SUM(N3:W3)</f>
        <v>1</v>
      </c>
      <c r="Y3" s="294">
        <f t="shared" ref="Y3:Y17" si="1">ROUND(K3/J3,4)</f>
        <v>0.7</v>
      </c>
      <c r="Z3" s="295" t="b">
        <f t="shared" ref="Z3:Z17" si="2">Y3=M3</f>
        <v>1</v>
      </c>
      <c r="AA3" s="295" t="b">
        <f t="shared" ref="AA3:AA17" si="3">J3=K3+L3</f>
        <v>1</v>
      </c>
    </row>
    <row r="4" spans="1:27" s="112" customFormat="1" ht="45">
      <c r="A4" s="296">
        <v>2</v>
      </c>
      <c r="B4" s="297" t="s">
        <v>393</v>
      </c>
      <c r="C4" s="296" t="s">
        <v>101</v>
      </c>
      <c r="D4" s="298" t="s">
        <v>102</v>
      </c>
      <c r="E4" s="299">
        <v>2404</v>
      </c>
      <c r="F4" s="300" t="s">
        <v>108</v>
      </c>
      <c r="G4" s="301" t="s">
        <v>124</v>
      </c>
      <c r="H4" s="302">
        <v>15.569000000000001</v>
      </c>
      <c r="I4" s="301" t="s">
        <v>125</v>
      </c>
      <c r="J4" s="303">
        <v>32963000</v>
      </c>
      <c r="K4" s="304">
        <v>18129650</v>
      </c>
      <c r="L4" s="304">
        <v>14833350</v>
      </c>
      <c r="M4" s="349">
        <v>0.55000000000000004</v>
      </c>
      <c r="N4" s="305">
        <v>1226775</v>
      </c>
      <c r="O4" s="305">
        <v>5375700</v>
      </c>
      <c r="P4" s="305">
        <v>5763587.5</v>
      </c>
      <c r="Q4" s="304">
        <v>5763587.5</v>
      </c>
      <c r="R4" s="306"/>
      <c r="S4" s="304"/>
      <c r="T4" s="304"/>
      <c r="U4" s="304"/>
      <c r="V4" s="304"/>
      <c r="W4" s="304"/>
      <c r="X4" s="293" t="b">
        <f t="shared" si="0"/>
        <v>1</v>
      </c>
      <c r="Y4" s="294">
        <f t="shared" si="1"/>
        <v>0.55000000000000004</v>
      </c>
      <c r="Z4" s="295" t="b">
        <f t="shared" si="2"/>
        <v>1</v>
      </c>
      <c r="AA4" s="295" t="b">
        <f t="shared" si="3"/>
        <v>1</v>
      </c>
    </row>
    <row r="5" spans="1:27" s="112" customFormat="1" ht="78.75">
      <c r="A5" s="296">
        <v>3</v>
      </c>
      <c r="B5" s="297" t="s">
        <v>394</v>
      </c>
      <c r="C5" s="296" t="s">
        <v>101</v>
      </c>
      <c r="D5" s="298" t="s">
        <v>103</v>
      </c>
      <c r="E5" s="307">
        <v>2478011</v>
      </c>
      <c r="F5" s="300" t="s">
        <v>109</v>
      </c>
      <c r="G5" s="301" t="s">
        <v>126</v>
      </c>
      <c r="H5" s="302">
        <v>1.234</v>
      </c>
      <c r="I5" s="301" t="s">
        <v>127</v>
      </c>
      <c r="J5" s="303">
        <v>22532526</v>
      </c>
      <c r="K5" s="304">
        <v>11266263</v>
      </c>
      <c r="L5" s="304">
        <v>11266263</v>
      </c>
      <c r="M5" s="349">
        <v>0.5</v>
      </c>
      <c r="N5" s="305">
        <v>4958308</v>
      </c>
      <c r="O5" s="305">
        <v>6307955</v>
      </c>
      <c r="P5" s="305"/>
      <c r="Q5" s="305"/>
      <c r="R5" s="304"/>
      <c r="S5" s="305"/>
      <c r="T5" s="305"/>
      <c r="U5" s="305"/>
      <c r="V5" s="305"/>
      <c r="W5" s="308"/>
      <c r="X5" s="293" t="b">
        <f t="shared" si="0"/>
        <v>1</v>
      </c>
      <c r="Y5" s="294">
        <f t="shared" si="1"/>
        <v>0.5</v>
      </c>
      <c r="Z5" s="295" t="b">
        <f t="shared" si="2"/>
        <v>1</v>
      </c>
      <c r="AA5" s="295" t="b">
        <f t="shared" si="3"/>
        <v>1</v>
      </c>
    </row>
    <row r="6" spans="1:27" s="112" customFormat="1" ht="22.5">
      <c r="A6" s="296">
        <v>4</v>
      </c>
      <c r="B6" s="297" t="s">
        <v>395</v>
      </c>
      <c r="C6" s="296" t="s">
        <v>101</v>
      </c>
      <c r="D6" s="298" t="s">
        <v>81</v>
      </c>
      <c r="E6" s="307">
        <v>2470011</v>
      </c>
      <c r="F6" s="300" t="s">
        <v>110</v>
      </c>
      <c r="G6" s="301" t="s">
        <v>124</v>
      </c>
      <c r="H6" s="302">
        <v>3.5</v>
      </c>
      <c r="I6" s="301" t="s">
        <v>128</v>
      </c>
      <c r="J6" s="303">
        <v>9520197</v>
      </c>
      <c r="K6" s="304">
        <v>7616157.5999999996</v>
      </c>
      <c r="L6" s="304">
        <v>1904039.4000000004</v>
      </c>
      <c r="M6" s="349">
        <v>0.79999999999999993</v>
      </c>
      <c r="N6" s="305">
        <v>228484.8</v>
      </c>
      <c r="O6" s="305">
        <v>3579594.4</v>
      </c>
      <c r="P6" s="305">
        <v>3808078.4</v>
      </c>
      <c r="Q6" s="304"/>
      <c r="R6" s="304"/>
      <c r="S6" s="304"/>
      <c r="T6" s="304"/>
      <c r="U6" s="304"/>
      <c r="V6" s="304"/>
      <c r="W6" s="304"/>
      <c r="X6" s="293" t="b">
        <f t="shared" si="0"/>
        <v>1</v>
      </c>
      <c r="Y6" s="294">
        <f t="shared" si="1"/>
        <v>0.8</v>
      </c>
      <c r="Z6" s="295" t="b">
        <f t="shared" si="2"/>
        <v>1</v>
      </c>
      <c r="AA6" s="295" t="b">
        <f t="shared" si="3"/>
        <v>1</v>
      </c>
    </row>
    <row r="7" spans="1:27" s="112" customFormat="1" ht="45">
      <c r="A7" s="296">
        <v>5</v>
      </c>
      <c r="B7" s="297" t="s">
        <v>396</v>
      </c>
      <c r="C7" s="296" t="s">
        <v>101</v>
      </c>
      <c r="D7" s="298" t="s">
        <v>79</v>
      </c>
      <c r="E7" s="299">
        <v>2417</v>
      </c>
      <c r="F7" s="300" t="s">
        <v>111</v>
      </c>
      <c r="G7" s="301" t="s">
        <v>124</v>
      </c>
      <c r="H7" s="302">
        <v>1.1950000000000001</v>
      </c>
      <c r="I7" s="301" t="s">
        <v>129</v>
      </c>
      <c r="J7" s="303">
        <v>1199765</v>
      </c>
      <c r="K7" s="304">
        <v>899823.75</v>
      </c>
      <c r="L7" s="304">
        <v>299941.25</v>
      </c>
      <c r="M7" s="349">
        <v>0.75</v>
      </c>
      <c r="N7" s="305">
        <v>65967.75</v>
      </c>
      <c r="O7" s="305">
        <v>833856</v>
      </c>
      <c r="P7" s="305"/>
      <c r="Q7" s="304"/>
      <c r="R7" s="292"/>
      <c r="S7" s="292"/>
      <c r="T7" s="292"/>
      <c r="U7" s="292"/>
      <c r="V7" s="292"/>
      <c r="W7" s="292"/>
      <c r="X7" s="293" t="b">
        <f t="shared" si="0"/>
        <v>1</v>
      </c>
      <c r="Y7" s="294">
        <f t="shared" si="1"/>
        <v>0.75</v>
      </c>
      <c r="Z7" s="295" t="b">
        <f t="shared" si="2"/>
        <v>1</v>
      </c>
      <c r="AA7" s="295" t="b">
        <f t="shared" si="3"/>
        <v>1</v>
      </c>
    </row>
    <row r="8" spans="1:27" s="112" customFormat="1" ht="33.75">
      <c r="A8" s="296">
        <v>6</v>
      </c>
      <c r="B8" s="297" t="s">
        <v>397</v>
      </c>
      <c r="C8" s="296" t="s">
        <v>101</v>
      </c>
      <c r="D8" s="298" t="s">
        <v>102</v>
      </c>
      <c r="E8" s="299">
        <v>2404</v>
      </c>
      <c r="F8" s="300" t="s">
        <v>112</v>
      </c>
      <c r="G8" s="301" t="s">
        <v>124</v>
      </c>
      <c r="H8" s="302">
        <v>3.35</v>
      </c>
      <c r="I8" s="301" t="s">
        <v>130</v>
      </c>
      <c r="J8" s="303">
        <v>7600000</v>
      </c>
      <c r="K8" s="304">
        <v>4180000.0000000005</v>
      </c>
      <c r="L8" s="304">
        <v>3419999.9999999995</v>
      </c>
      <c r="M8" s="349">
        <v>0.55000000000000004</v>
      </c>
      <c r="N8" s="305">
        <v>606100</v>
      </c>
      <c r="O8" s="305">
        <v>1324400</v>
      </c>
      <c r="P8" s="305">
        <v>1324400</v>
      </c>
      <c r="Q8" s="304">
        <v>925100.00000000012</v>
      </c>
      <c r="R8" s="292"/>
      <c r="S8" s="309"/>
      <c r="T8" s="309"/>
      <c r="U8" s="309"/>
      <c r="V8" s="309"/>
      <c r="W8" s="309"/>
      <c r="X8" s="293" t="b">
        <f t="shared" si="0"/>
        <v>1</v>
      </c>
      <c r="Y8" s="294">
        <f t="shared" si="1"/>
        <v>0.55000000000000004</v>
      </c>
      <c r="Z8" s="295" t="b">
        <f t="shared" si="2"/>
        <v>1</v>
      </c>
      <c r="AA8" s="295" t="b">
        <f t="shared" si="3"/>
        <v>1</v>
      </c>
    </row>
    <row r="9" spans="1:27" s="112" customFormat="1" ht="22.5">
      <c r="A9" s="296">
        <v>7</v>
      </c>
      <c r="B9" s="297" t="s">
        <v>398</v>
      </c>
      <c r="C9" s="296" t="s">
        <v>101</v>
      </c>
      <c r="D9" s="298" t="s">
        <v>104</v>
      </c>
      <c r="E9" s="307">
        <v>2464011</v>
      </c>
      <c r="F9" s="300" t="s">
        <v>113</v>
      </c>
      <c r="G9" s="301" t="s">
        <v>124</v>
      </c>
      <c r="H9" s="302">
        <v>0.90600000000000003</v>
      </c>
      <c r="I9" s="301" t="s">
        <v>131</v>
      </c>
      <c r="J9" s="303">
        <v>3058768</v>
      </c>
      <c r="K9" s="304">
        <v>1529384</v>
      </c>
      <c r="L9" s="304">
        <v>1529384</v>
      </c>
      <c r="M9" s="349">
        <v>0.5</v>
      </c>
      <c r="N9" s="305">
        <v>1161282.5</v>
      </c>
      <c r="O9" s="305">
        <v>368101.5</v>
      </c>
      <c r="P9" s="305"/>
      <c r="Q9" s="304"/>
      <c r="R9" s="292"/>
      <c r="S9" s="304"/>
      <c r="T9" s="304"/>
      <c r="U9" s="304"/>
      <c r="V9" s="304"/>
      <c r="W9" s="304"/>
      <c r="X9" s="293" t="b">
        <f t="shared" si="0"/>
        <v>1</v>
      </c>
      <c r="Y9" s="294">
        <f t="shared" si="1"/>
        <v>0.5</v>
      </c>
      <c r="Z9" s="295" t="b">
        <f t="shared" si="2"/>
        <v>1</v>
      </c>
      <c r="AA9" s="295" t="b">
        <f t="shared" si="3"/>
        <v>1</v>
      </c>
    </row>
    <row r="10" spans="1:27" s="112" customFormat="1" ht="56.25">
      <c r="A10" s="296">
        <v>8</v>
      </c>
      <c r="B10" s="297" t="s">
        <v>399</v>
      </c>
      <c r="C10" s="296" t="s">
        <v>101</v>
      </c>
      <c r="D10" s="298" t="s">
        <v>78</v>
      </c>
      <c r="E10" s="299">
        <v>2409</v>
      </c>
      <c r="F10" s="300" t="s">
        <v>114</v>
      </c>
      <c r="G10" s="301" t="s">
        <v>124</v>
      </c>
      <c r="H10" s="302">
        <v>1.9810000000000001</v>
      </c>
      <c r="I10" s="301" t="s">
        <v>132</v>
      </c>
      <c r="J10" s="303">
        <v>4314889</v>
      </c>
      <c r="K10" s="304">
        <v>2588933.4</v>
      </c>
      <c r="L10" s="304">
        <v>1725955.6</v>
      </c>
      <c r="M10" s="349">
        <v>0.6</v>
      </c>
      <c r="N10" s="305">
        <v>517786.8</v>
      </c>
      <c r="O10" s="305">
        <v>2071146.5999999999</v>
      </c>
      <c r="P10" s="305"/>
      <c r="Q10" s="305"/>
      <c r="R10" s="305"/>
      <c r="S10" s="305"/>
      <c r="T10" s="305"/>
      <c r="U10" s="305"/>
      <c r="V10" s="305"/>
      <c r="W10" s="308"/>
      <c r="X10" s="293" t="b">
        <f t="shared" si="0"/>
        <v>1</v>
      </c>
      <c r="Y10" s="294">
        <f t="shared" si="1"/>
        <v>0.6</v>
      </c>
      <c r="Z10" s="295" t="b">
        <f t="shared" si="2"/>
        <v>1</v>
      </c>
      <c r="AA10" s="295" t="b">
        <f t="shared" si="3"/>
        <v>1</v>
      </c>
    </row>
    <row r="11" spans="1:27" s="112" customFormat="1" ht="33.75">
      <c r="A11" s="296">
        <v>9</v>
      </c>
      <c r="B11" s="297" t="s">
        <v>400</v>
      </c>
      <c r="C11" s="296" t="s">
        <v>101</v>
      </c>
      <c r="D11" s="298" t="s">
        <v>46</v>
      </c>
      <c r="E11" s="307">
        <v>2468011</v>
      </c>
      <c r="F11" s="300" t="s">
        <v>115</v>
      </c>
      <c r="G11" s="301" t="s">
        <v>126</v>
      </c>
      <c r="H11" s="302">
        <v>0.80200000000000005</v>
      </c>
      <c r="I11" s="301" t="s">
        <v>133</v>
      </c>
      <c r="J11" s="303">
        <v>7505000</v>
      </c>
      <c r="K11" s="304">
        <v>3752500</v>
      </c>
      <c r="L11" s="304">
        <v>3752500</v>
      </c>
      <c r="M11" s="349">
        <v>0.5</v>
      </c>
      <c r="N11" s="305">
        <v>3252500</v>
      </c>
      <c r="O11" s="305">
        <v>500000</v>
      </c>
      <c r="P11" s="305"/>
      <c r="Q11" s="305"/>
      <c r="R11" s="305"/>
      <c r="S11" s="305"/>
      <c r="T11" s="305"/>
      <c r="U11" s="305"/>
      <c r="V11" s="305"/>
      <c r="W11" s="308"/>
      <c r="X11" s="293" t="b">
        <f t="shared" si="0"/>
        <v>1</v>
      </c>
      <c r="Y11" s="294">
        <f t="shared" si="1"/>
        <v>0.5</v>
      </c>
      <c r="Z11" s="295" t="b">
        <f t="shared" si="2"/>
        <v>1</v>
      </c>
      <c r="AA11" s="295" t="b">
        <f t="shared" si="3"/>
        <v>1</v>
      </c>
    </row>
    <row r="12" spans="1:27" s="112" customFormat="1" ht="22.5">
      <c r="A12" s="296">
        <v>10</v>
      </c>
      <c r="B12" s="297" t="s">
        <v>401</v>
      </c>
      <c r="C12" s="296" t="s">
        <v>101</v>
      </c>
      <c r="D12" s="298" t="s">
        <v>77</v>
      </c>
      <c r="E12" s="299">
        <v>2413</v>
      </c>
      <c r="F12" s="300" t="s">
        <v>116</v>
      </c>
      <c r="G12" s="301" t="s">
        <v>124</v>
      </c>
      <c r="H12" s="302">
        <v>1.512</v>
      </c>
      <c r="I12" s="301" t="s">
        <v>134</v>
      </c>
      <c r="J12" s="303">
        <v>1927672</v>
      </c>
      <c r="K12" s="304">
        <v>963836</v>
      </c>
      <c r="L12" s="304">
        <v>963836</v>
      </c>
      <c r="M12" s="349">
        <v>0.5</v>
      </c>
      <c r="N12" s="305">
        <v>340000</v>
      </c>
      <c r="O12" s="305">
        <v>623836</v>
      </c>
      <c r="P12" s="305"/>
      <c r="Q12" s="305"/>
      <c r="R12" s="305"/>
      <c r="S12" s="305"/>
      <c r="T12" s="305"/>
      <c r="U12" s="305"/>
      <c r="V12" s="305"/>
      <c r="W12" s="308"/>
      <c r="X12" s="293" t="b">
        <f t="shared" si="0"/>
        <v>1</v>
      </c>
      <c r="Y12" s="294">
        <f t="shared" si="1"/>
        <v>0.5</v>
      </c>
      <c r="Z12" s="295" t="b">
        <f t="shared" si="2"/>
        <v>1</v>
      </c>
      <c r="AA12" s="295" t="b">
        <f t="shared" si="3"/>
        <v>1</v>
      </c>
    </row>
    <row r="13" spans="1:27" s="112" customFormat="1" ht="22.5">
      <c r="A13" s="296">
        <v>11</v>
      </c>
      <c r="B13" s="297" t="s">
        <v>402</v>
      </c>
      <c r="C13" s="296" t="s">
        <v>101</v>
      </c>
      <c r="D13" s="298" t="s">
        <v>105</v>
      </c>
      <c r="E13" s="299">
        <v>2408</v>
      </c>
      <c r="F13" s="300" t="s">
        <v>117</v>
      </c>
      <c r="G13" s="301" t="s">
        <v>124</v>
      </c>
      <c r="H13" s="302">
        <v>2.77</v>
      </c>
      <c r="I13" s="301" t="s">
        <v>135</v>
      </c>
      <c r="J13" s="303">
        <v>9628812</v>
      </c>
      <c r="K13" s="304">
        <v>5295846.6000000006</v>
      </c>
      <c r="L13" s="304">
        <v>4332965.3999999994</v>
      </c>
      <c r="M13" s="349">
        <v>0.55000000000000004</v>
      </c>
      <c r="N13" s="305">
        <v>27500.000000000004</v>
      </c>
      <c r="O13" s="305">
        <v>2634173.3000000003</v>
      </c>
      <c r="P13" s="305">
        <v>2634173.3000000003</v>
      </c>
      <c r="Q13" s="304"/>
      <c r="R13" s="304"/>
      <c r="S13" s="304"/>
      <c r="T13" s="304"/>
      <c r="U13" s="304"/>
      <c r="V13" s="304"/>
      <c r="W13" s="304"/>
      <c r="X13" s="293" t="b">
        <f t="shared" si="0"/>
        <v>1</v>
      </c>
      <c r="Y13" s="294">
        <f t="shared" si="1"/>
        <v>0.55000000000000004</v>
      </c>
      <c r="Z13" s="295" t="b">
        <f t="shared" si="2"/>
        <v>1</v>
      </c>
      <c r="AA13" s="295" t="b">
        <f t="shared" si="3"/>
        <v>1</v>
      </c>
    </row>
    <row r="14" spans="1:27" s="112" customFormat="1" ht="22.5">
      <c r="A14" s="296">
        <v>12</v>
      </c>
      <c r="B14" s="297" t="s">
        <v>403</v>
      </c>
      <c r="C14" s="296" t="s">
        <v>101</v>
      </c>
      <c r="D14" s="298" t="s">
        <v>78</v>
      </c>
      <c r="E14" s="299">
        <v>2409</v>
      </c>
      <c r="F14" s="300" t="s">
        <v>118</v>
      </c>
      <c r="G14" s="301" t="s">
        <v>124</v>
      </c>
      <c r="H14" s="302">
        <v>2.4300000000000002</v>
      </c>
      <c r="I14" s="301" t="s">
        <v>132</v>
      </c>
      <c r="J14" s="303">
        <v>4076792</v>
      </c>
      <c r="K14" s="304">
        <v>2446075.1999999997</v>
      </c>
      <c r="L14" s="304">
        <v>1630716.8000000003</v>
      </c>
      <c r="M14" s="349">
        <v>0.6</v>
      </c>
      <c r="N14" s="305">
        <v>489214.8</v>
      </c>
      <c r="O14" s="305">
        <v>1956860.4</v>
      </c>
      <c r="P14" s="305"/>
      <c r="Q14" s="305"/>
      <c r="R14" s="310"/>
      <c r="S14" s="310"/>
      <c r="T14" s="310"/>
      <c r="U14" s="310"/>
      <c r="V14" s="310"/>
      <c r="W14" s="308"/>
      <c r="X14" s="293" t="b">
        <f t="shared" si="0"/>
        <v>1</v>
      </c>
      <c r="Y14" s="294">
        <f t="shared" si="1"/>
        <v>0.6</v>
      </c>
      <c r="Z14" s="295" t="b">
        <f t="shared" si="2"/>
        <v>1</v>
      </c>
      <c r="AA14" s="295" t="b">
        <f t="shared" si="3"/>
        <v>1</v>
      </c>
    </row>
    <row r="15" spans="1:27" s="112" customFormat="1" ht="22.5">
      <c r="A15" s="296">
        <v>13</v>
      </c>
      <c r="B15" s="297" t="s">
        <v>404</v>
      </c>
      <c r="C15" s="296" t="s">
        <v>101</v>
      </c>
      <c r="D15" s="298" t="s">
        <v>106</v>
      </c>
      <c r="E15" s="307">
        <v>2463011</v>
      </c>
      <c r="F15" s="300" t="s">
        <v>119</v>
      </c>
      <c r="G15" s="301" t="s">
        <v>124</v>
      </c>
      <c r="H15" s="302">
        <v>2.133</v>
      </c>
      <c r="I15" s="311" t="s">
        <v>136</v>
      </c>
      <c r="J15" s="303">
        <v>28426154</v>
      </c>
      <c r="K15" s="304">
        <v>14213077</v>
      </c>
      <c r="L15" s="304">
        <v>14213077</v>
      </c>
      <c r="M15" s="349">
        <v>0.5</v>
      </c>
      <c r="N15" s="305">
        <v>1855000</v>
      </c>
      <c r="O15" s="305">
        <v>6000000</v>
      </c>
      <c r="P15" s="305">
        <v>4395000</v>
      </c>
      <c r="Q15" s="304">
        <v>1963077</v>
      </c>
      <c r="R15" s="304"/>
      <c r="S15" s="304"/>
      <c r="T15" s="304"/>
      <c r="U15" s="304"/>
      <c r="V15" s="304"/>
      <c r="W15" s="304"/>
      <c r="X15" s="293" t="b">
        <f t="shared" si="0"/>
        <v>1</v>
      </c>
      <c r="Y15" s="294">
        <f t="shared" si="1"/>
        <v>0.5</v>
      </c>
      <c r="Z15" s="295" t="b">
        <f t="shared" si="2"/>
        <v>1</v>
      </c>
      <c r="AA15" s="295" t="b">
        <f t="shared" si="3"/>
        <v>1</v>
      </c>
    </row>
    <row r="16" spans="1:27" s="112" customFormat="1" ht="33.75">
      <c r="A16" s="296">
        <v>14</v>
      </c>
      <c r="B16" s="297" t="s">
        <v>405</v>
      </c>
      <c r="C16" s="296" t="s">
        <v>101</v>
      </c>
      <c r="D16" s="298" t="s">
        <v>78</v>
      </c>
      <c r="E16" s="299">
        <v>2409</v>
      </c>
      <c r="F16" s="300" t="s">
        <v>120</v>
      </c>
      <c r="G16" s="301" t="s">
        <v>124</v>
      </c>
      <c r="H16" s="302">
        <v>0.51600000000000001</v>
      </c>
      <c r="I16" s="301" t="s">
        <v>132</v>
      </c>
      <c r="J16" s="303">
        <v>3603715</v>
      </c>
      <c r="K16" s="304">
        <v>2162229</v>
      </c>
      <c r="L16" s="304">
        <v>1441486</v>
      </c>
      <c r="M16" s="349">
        <v>0.6</v>
      </c>
      <c r="N16" s="305">
        <v>432445.8</v>
      </c>
      <c r="O16" s="305">
        <v>1729783.2</v>
      </c>
      <c r="P16" s="305"/>
      <c r="Q16" s="305"/>
      <c r="R16" s="292"/>
      <c r="S16" s="292"/>
      <c r="T16" s="292"/>
      <c r="U16" s="292"/>
      <c r="V16" s="292"/>
      <c r="W16" s="292"/>
      <c r="X16" s="293" t="b">
        <f t="shared" si="0"/>
        <v>1</v>
      </c>
      <c r="Y16" s="294">
        <f t="shared" si="1"/>
        <v>0.6</v>
      </c>
      <c r="Z16" s="295" t="b">
        <f t="shared" si="2"/>
        <v>1</v>
      </c>
      <c r="AA16" s="295" t="b">
        <f t="shared" si="3"/>
        <v>1</v>
      </c>
    </row>
    <row r="17" spans="1:27" s="112" customFormat="1" ht="45">
      <c r="A17" s="439" t="s">
        <v>527</v>
      </c>
      <c r="B17" s="312" t="s">
        <v>406</v>
      </c>
      <c r="C17" s="296" t="s">
        <v>101</v>
      </c>
      <c r="D17" s="300" t="s">
        <v>339</v>
      </c>
      <c r="E17" s="307">
        <v>2466011</v>
      </c>
      <c r="F17" s="300" t="s">
        <v>121</v>
      </c>
      <c r="G17" s="301" t="s">
        <v>137</v>
      </c>
      <c r="H17" s="302">
        <v>1.61</v>
      </c>
      <c r="I17" s="301" t="s">
        <v>138</v>
      </c>
      <c r="J17" s="303">
        <v>41351528</v>
      </c>
      <c r="K17" s="304">
        <v>11616207.67</v>
      </c>
      <c r="L17" s="304">
        <v>29735320.329999998</v>
      </c>
      <c r="M17" s="349">
        <v>0.5</v>
      </c>
      <c r="N17" s="308">
        <v>7866362</v>
      </c>
      <c r="O17" s="308">
        <v>3749845.67</v>
      </c>
      <c r="P17" s="305"/>
      <c r="Q17" s="305"/>
      <c r="R17" s="305"/>
      <c r="S17" s="305"/>
      <c r="T17" s="305"/>
      <c r="U17" s="305"/>
      <c r="V17" s="305"/>
      <c r="W17" s="308"/>
      <c r="X17" s="293" t="b">
        <f t="shared" si="0"/>
        <v>1</v>
      </c>
      <c r="Y17" s="294">
        <f t="shared" si="1"/>
        <v>0.28089999999999998</v>
      </c>
      <c r="Z17" s="295" t="b">
        <f t="shared" si="2"/>
        <v>0</v>
      </c>
      <c r="AA17" s="295" t="b">
        <f t="shared" si="3"/>
        <v>1</v>
      </c>
    </row>
    <row r="18" spans="1:27" s="112" customFormat="1" ht="22.5">
      <c r="A18" s="296">
        <v>16</v>
      </c>
      <c r="B18" s="296" t="s">
        <v>45</v>
      </c>
      <c r="C18" s="313" t="s">
        <v>67</v>
      </c>
      <c r="D18" s="314" t="s">
        <v>46</v>
      </c>
      <c r="E18" s="315">
        <v>2468011</v>
      </c>
      <c r="F18" s="316" t="s">
        <v>47</v>
      </c>
      <c r="G18" s="296" t="s">
        <v>124</v>
      </c>
      <c r="H18" s="317">
        <v>1.92</v>
      </c>
      <c r="I18" s="318" t="s">
        <v>407</v>
      </c>
      <c r="J18" s="308">
        <v>10000000</v>
      </c>
      <c r="K18" s="305">
        <f>ROUND(J18*M18,2)</f>
        <v>5000000</v>
      </c>
      <c r="L18" s="304">
        <f>J18-K18</f>
        <v>5000000</v>
      </c>
      <c r="M18" s="349">
        <v>0.5</v>
      </c>
      <c r="N18" s="305">
        <v>0</v>
      </c>
      <c r="O18" s="305">
        <v>500000</v>
      </c>
      <c r="P18" s="304">
        <v>2000000</v>
      </c>
      <c r="Q18" s="304">
        <v>2500000</v>
      </c>
      <c r="R18" s="304"/>
      <c r="S18" s="304"/>
      <c r="T18" s="304"/>
      <c r="U18" s="304"/>
      <c r="V18" s="304"/>
      <c r="W18" s="304"/>
      <c r="X18" s="293" t="b">
        <f t="shared" ref="X18" si="4">K18=SUM(N18:W18)</f>
        <v>1</v>
      </c>
      <c r="Y18" s="294">
        <f t="shared" ref="Y18" si="5">ROUND(K18/J18,4)</f>
        <v>0.5</v>
      </c>
      <c r="Z18" s="295" t="b">
        <f t="shared" ref="Z18" si="6">Y18=M18</f>
        <v>1</v>
      </c>
      <c r="AA18" s="295" t="b">
        <f t="shared" ref="AA18" si="7">J18=K18+L18</f>
        <v>1</v>
      </c>
    </row>
    <row r="19" spans="1:27" s="196" customFormat="1" ht="45.75">
      <c r="A19" s="319">
        <v>17</v>
      </c>
      <c r="B19" s="319" t="s">
        <v>48</v>
      </c>
      <c r="C19" s="320" t="s">
        <v>68</v>
      </c>
      <c r="D19" s="321" t="s">
        <v>69</v>
      </c>
      <c r="E19" s="322">
        <v>2402</v>
      </c>
      <c r="F19" s="323" t="s">
        <v>82</v>
      </c>
      <c r="G19" s="319" t="s">
        <v>124</v>
      </c>
      <c r="H19" s="324">
        <v>1.792</v>
      </c>
      <c r="I19" s="325" t="s">
        <v>408</v>
      </c>
      <c r="J19" s="326">
        <v>6805128</v>
      </c>
      <c r="K19" s="327">
        <f t="shared" ref="K19:K36" si="8">ROUND(J19*M19,2)</f>
        <v>3742820.4</v>
      </c>
      <c r="L19" s="328">
        <f t="shared" ref="L19:L37" si="9">J19-K19</f>
        <v>3062307.6</v>
      </c>
      <c r="M19" s="350">
        <v>0.55000000000000004</v>
      </c>
      <c r="N19" s="327">
        <v>0</v>
      </c>
      <c r="O19" s="327">
        <v>3742820.4</v>
      </c>
      <c r="P19" s="328"/>
      <c r="Q19" s="328"/>
      <c r="R19" s="328"/>
      <c r="S19" s="328"/>
      <c r="T19" s="328"/>
      <c r="U19" s="328"/>
      <c r="V19" s="328"/>
      <c r="W19" s="328"/>
      <c r="X19" s="293" t="b">
        <f t="shared" ref="X19:X37" si="10">K19=SUM(N19:W19)</f>
        <v>1</v>
      </c>
      <c r="Y19" s="294">
        <f t="shared" ref="Y19:Y37" si="11">ROUND(K19/J19,4)</f>
        <v>0.55000000000000004</v>
      </c>
      <c r="Z19" s="295" t="b">
        <f t="shared" ref="Z19:Z37" si="12">Y19=M19</f>
        <v>1</v>
      </c>
      <c r="AA19" s="295" t="b">
        <f t="shared" ref="AA19:AA37" si="13">J19=K19+L19</f>
        <v>1</v>
      </c>
    </row>
    <row r="20" spans="1:27" s="112" customFormat="1" ht="34.5">
      <c r="A20" s="296">
        <v>18</v>
      </c>
      <c r="B20" s="296" t="s">
        <v>49</v>
      </c>
      <c r="C20" s="313" t="s">
        <v>67</v>
      </c>
      <c r="D20" s="314" t="s">
        <v>70</v>
      </c>
      <c r="E20" s="307">
        <v>2467011</v>
      </c>
      <c r="F20" s="316" t="s">
        <v>83</v>
      </c>
      <c r="G20" s="296" t="s">
        <v>122</v>
      </c>
      <c r="H20" s="317">
        <v>0.59599999999999997</v>
      </c>
      <c r="I20" s="318" t="s">
        <v>410</v>
      </c>
      <c r="J20" s="308">
        <v>25420149</v>
      </c>
      <c r="K20" s="305">
        <f t="shared" si="8"/>
        <v>12710074.5</v>
      </c>
      <c r="L20" s="304">
        <f t="shared" si="9"/>
        <v>12710074.5</v>
      </c>
      <c r="M20" s="349">
        <v>0.5</v>
      </c>
      <c r="N20" s="305">
        <v>0</v>
      </c>
      <c r="O20" s="305">
        <v>2750000</v>
      </c>
      <c r="P20" s="304">
        <v>9960074.5</v>
      </c>
      <c r="Q20" s="304"/>
      <c r="R20" s="304"/>
      <c r="S20" s="304"/>
      <c r="T20" s="304"/>
      <c r="U20" s="304"/>
      <c r="V20" s="304"/>
      <c r="W20" s="304"/>
      <c r="X20" s="293" t="b">
        <f t="shared" si="10"/>
        <v>1</v>
      </c>
      <c r="Y20" s="294">
        <f t="shared" si="11"/>
        <v>0.5</v>
      </c>
      <c r="Z20" s="295" t="b">
        <f t="shared" si="12"/>
        <v>1</v>
      </c>
      <c r="AA20" s="295" t="b">
        <f t="shared" si="13"/>
        <v>1</v>
      </c>
    </row>
    <row r="21" spans="1:27" s="112" customFormat="1" ht="23.25">
      <c r="A21" s="296">
        <v>19</v>
      </c>
      <c r="B21" s="296" t="s">
        <v>50</v>
      </c>
      <c r="C21" s="313" t="s">
        <v>67</v>
      </c>
      <c r="D21" s="314" t="s">
        <v>71</v>
      </c>
      <c r="E21" s="315">
        <v>2410</v>
      </c>
      <c r="F21" s="316" t="s">
        <v>84</v>
      </c>
      <c r="G21" s="296" t="s">
        <v>124</v>
      </c>
      <c r="H21" s="317">
        <v>2.2370000000000001</v>
      </c>
      <c r="I21" s="318" t="s">
        <v>411</v>
      </c>
      <c r="J21" s="308">
        <v>8253594</v>
      </c>
      <c r="K21" s="305">
        <f t="shared" si="8"/>
        <v>4539476.7</v>
      </c>
      <c r="L21" s="304">
        <f t="shared" si="9"/>
        <v>3714117.3</v>
      </c>
      <c r="M21" s="349">
        <v>0.55000000000000004</v>
      </c>
      <c r="N21" s="305">
        <v>0</v>
      </c>
      <c r="O21" s="305">
        <v>3135000.0000000005</v>
      </c>
      <c r="P21" s="304">
        <v>1404476.7000000002</v>
      </c>
      <c r="Q21" s="304"/>
      <c r="R21" s="304"/>
      <c r="S21" s="304"/>
      <c r="T21" s="304"/>
      <c r="U21" s="304"/>
      <c r="V21" s="304"/>
      <c r="W21" s="304"/>
      <c r="X21" s="293" t="b">
        <f t="shared" si="10"/>
        <v>1</v>
      </c>
      <c r="Y21" s="294">
        <f t="shared" si="11"/>
        <v>0.55000000000000004</v>
      </c>
      <c r="Z21" s="295" t="b">
        <f t="shared" si="12"/>
        <v>1</v>
      </c>
      <c r="AA21" s="295" t="b">
        <f t="shared" si="13"/>
        <v>1</v>
      </c>
    </row>
    <row r="22" spans="1:27" s="112" customFormat="1" ht="45.75">
      <c r="A22" s="296">
        <v>20</v>
      </c>
      <c r="B22" s="296" t="s">
        <v>51</v>
      </c>
      <c r="C22" s="313" t="s">
        <v>67</v>
      </c>
      <c r="D22" s="314" t="s">
        <v>72</v>
      </c>
      <c r="E22" s="315">
        <v>2411</v>
      </c>
      <c r="F22" s="316" t="s">
        <v>85</v>
      </c>
      <c r="G22" s="296" t="s">
        <v>122</v>
      </c>
      <c r="H22" s="317">
        <v>0.77300000000000002</v>
      </c>
      <c r="I22" s="318" t="s">
        <v>412</v>
      </c>
      <c r="J22" s="308">
        <v>7713504</v>
      </c>
      <c r="K22" s="305">
        <f t="shared" si="8"/>
        <v>4242427.2</v>
      </c>
      <c r="L22" s="304">
        <f t="shared" si="9"/>
        <v>3471076.8</v>
      </c>
      <c r="M22" s="349">
        <v>0.55000000000000004</v>
      </c>
      <c r="N22" s="305">
        <v>0</v>
      </c>
      <c r="O22" s="305">
        <v>2750000</v>
      </c>
      <c r="P22" s="304">
        <v>1492427.2000000002</v>
      </c>
      <c r="Q22" s="304"/>
      <c r="R22" s="304"/>
      <c r="S22" s="304"/>
      <c r="T22" s="304"/>
      <c r="U22" s="304"/>
      <c r="V22" s="304"/>
      <c r="W22" s="304"/>
      <c r="X22" s="293" t="b">
        <f t="shared" si="10"/>
        <v>1</v>
      </c>
      <c r="Y22" s="294">
        <f t="shared" si="11"/>
        <v>0.55000000000000004</v>
      </c>
      <c r="Z22" s="295" t="b">
        <f t="shared" si="12"/>
        <v>1</v>
      </c>
      <c r="AA22" s="295" t="b">
        <f t="shared" si="13"/>
        <v>1</v>
      </c>
    </row>
    <row r="23" spans="1:27" s="196" customFormat="1" ht="23.25">
      <c r="A23" s="319">
        <v>21</v>
      </c>
      <c r="B23" s="319" t="s">
        <v>52</v>
      </c>
      <c r="C23" s="320" t="s">
        <v>68</v>
      </c>
      <c r="D23" s="321" t="s">
        <v>73</v>
      </c>
      <c r="E23" s="322">
        <v>2405</v>
      </c>
      <c r="F23" s="323" t="s">
        <v>86</v>
      </c>
      <c r="G23" s="319" t="s">
        <v>124</v>
      </c>
      <c r="H23" s="324">
        <v>0.627</v>
      </c>
      <c r="I23" s="325" t="s">
        <v>414</v>
      </c>
      <c r="J23" s="326">
        <v>1493834</v>
      </c>
      <c r="K23" s="327">
        <f t="shared" si="8"/>
        <v>896300.4</v>
      </c>
      <c r="L23" s="328">
        <f t="shared" si="9"/>
        <v>597533.6</v>
      </c>
      <c r="M23" s="350">
        <v>0.6</v>
      </c>
      <c r="N23" s="327">
        <v>0</v>
      </c>
      <c r="O23" s="328">
        <v>896300.4</v>
      </c>
      <c r="P23" s="327"/>
      <c r="Q23" s="328"/>
      <c r="R23" s="328"/>
      <c r="S23" s="328"/>
      <c r="T23" s="328"/>
      <c r="U23" s="328"/>
      <c r="V23" s="328"/>
      <c r="W23" s="328"/>
      <c r="X23" s="293" t="b">
        <f t="shared" si="10"/>
        <v>1</v>
      </c>
      <c r="Y23" s="294">
        <f t="shared" si="11"/>
        <v>0.6</v>
      </c>
      <c r="Z23" s="295" t="b">
        <f t="shared" si="12"/>
        <v>1</v>
      </c>
      <c r="AA23" s="295" t="b">
        <f t="shared" si="13"/>
        <v>1</v>
      </c>
    </row>
    <row r="24" spans="1:27" s="196" customFormat="1" ht="23.25">
      <c r="A24" s="319">
        <v>22</v>
      </c>
      <c r="B24" s="319" t="s">
        <v>53</v>
      </c>
      <c r="C24" s="320" t="s">
        <v>68</v>
      </c>
      <c r="D24" s="321" t="s">
        <v>73</v>
      </c>
      <c r="E24" s="322">
        <v>2405</v>
      </c>
      <c r="F24" s="323" t="s">
        <v>87</v>
      </c>
      <c r="G24" s="319" t="s">
        <v>124</v>
      </c>
      <c r="H24" s="324">
        <v>0.59399999999999997</v>
      </c>
      <c r="I24" s="325" t="s">
        <v>414</v>
      </c>
      <c r="J24" s="326">
        <v>5028827</v>
      </c>
      <c r="K24" s="327">
        <f t="shared" si="8"/>
        <v>3017296.2</v>
      </c>
      <c r="L24" s="328">
        <f t="shared" si="9"/>
        <v>2011530.7999999998</v>
      </c>
      <c r="M24" s="350">
        <v>0.6</v>
      </c>
      <c r="N24" s="327">
        <v>0</v>
      </c>
      <c r="O24" s="328">
        <v>3017296.2</v>
      </c>
      <c r="P24" s="327"/>
      <c r="Q24" s="328"/>
      <c r="R24" s="328"/>
      <c r="S24" s="328"/>
      <c r="T24" s="328"/>
      <c r="U24" s="328"/>
      <c r="V24" s="328"/>
      <c r="W24" s="328"/>
      <c r="X24" s="293" t="b">
        <f t="shared" si="10"/>
        <v>1</v>
      </c>
      <c r="Y24" s="294">
        <f t="shared" si="11"/>
        <v>0.6</v>
      </c>
      <c r="Z24" s="295" t="b">
        <f t="shared" si="12"/>
        <v>1</v>
      </c>
      <c r="AA24" s="295" t="b">
        <f t="shared" si="13"/>
        <v>1</v>
      </c>
    </row>
    <row r="25" spans="1:27" s="196" customFormat="1" ht="45.75">
      <c r="A25" s="319">
        <v>23</v>
      </c>
      <c r="B25" s="319" t="s">
        <v>54</v>
      </c>
      <c r="C25" s="320" t="s">
        <v>68</v>
      </c>
      <c r="D25" s="321" t="s">
        <v>74</v>
      </c>
      <c r="E25" s="322">
        <v>2416</v>
      </c>
      <c r="F25" s="323" t="s">
        <v>88</v>
      </c>
      <c r="G25" s="319" t="s">
        <v>124</v>
      </c>
      <c r="H25" s="324">
        <v>4.47</v>
      </c>
      <c r="I25" s="325" t="s">
        <v>415</v>
      </c>
      <c r="J25" s="326">
        <v>8491041</v>
      </c>
      <c r="K25" s="327">
        <f>ROUNDDOWN(J25*M25,0)</f>
        <v>6792832</v>
      </c>
      <c r="L25" s="328">
        <f>J25-K25</f>
        <v>1698209</v>
      </c>
      <c r="M25" s="350">
        <v>0.8</v>
      </c>
      <c r="N25" s="327"/>
      <c r="O25" s="328">
        <f>K25</f>
        <v>6792832</v>
      </c>
      <c r="P25" s="327"/>
      <c r="Q25" s="328"/>
      <c r="R25" s="328"/>
      <c r="S25" s="328"/>
      <c r="T25" s="328"/>
      <c r="U25" s="328"/>
      <c r="V25" s="328"/>
      <c r="W25" s="328"/>
      <c r="X25" s="293" t="b">
        <f t="shared" si="10"/>
        <v>1</v>
      </c>
      <c r="Y25" s="294">
        <f t="shared" si="11"/>
        <v>0.8</v>
      </c>
      <c r="Z25" s="295" t="b">
        <f t="shared" si="12"/>
        <v>1</v>
      </c>
      <c r="AA25" s="295" t="b">
        <f t="shared" si="13"/>
        <v>1</v>
      </c>
    </row>
    <row r="26" spans="1:27" s="196" customFormat="1" ht="23.25">
      <c r="A26" s="319">
        <v>24</v>
      </c>
      <c r="B26" s="319" t="s">
        <v>55</v>
      </c>
      <c r="C26" s="320" t="s">
        <v>68</v>
      </c>
      <c r="D26" s="321" t="s">
        <v>75</v>
      </c>
      <c r="E26" s="322">
        <v>2415</v>
      </c>
      <c r="F26" s="323" t="s">
        <v>89</v>
      </c>
      <c r="G26" s="319" t="s">
        <v>124</v>
      </c>
      <c r="H26" s="324">
        <v>0.872</v>
      </c>
      <c r="I26" s="325" t="s">
        <v>408</v>
      </c>
      <c r="J26" s="326">
        <v>6096564</v>
      </c>
      <c r="K26" s="327">
        <f t="shared" si="8"/>
        <v>3048282</v>
      </c>
      <c r="L26" s="328">
        <f t="shared" si="9"/>
        <v>3048282</v>
      </c>
      <c r="M26" s="350">
        <v>0.5</v>
      </c>
      <c r="N26" s="327">
        <v>0</v>
      </c>
      <c r="O26" s="328">
        <v>3048282</v>
      </c>
      <c r="P26" s="327"/>
      <c r="Q26" s="328"/>
      <c r="R26" s="328"/>
      <c r="S26" s="328"/>
      <c r="T26" s="328"/>
      <c r="U26" s="328"/>
      <c r="V26" s="328"/>
      <c r="W26" s="328"/>
      <c r="X26" s="293" t="b">
        <f t="shared" si="10"/>
        <v>1</v>
      </c>
      <c r="Y26" s="294">
        <f t="shared" si="11"/>
        <v>0.5</v>
      </c>
      <c r="Z26" s="295" t="b">
        <f t="shared" si="12"/>
        <v>1</v>
      </c>
      <c r="AA26" s="295" t="b">
        <f t="shared" si="13"/>
        <v>1</v>
      </c>
    </row>
    <row r="27" spans="1:27" s="196" customFormat="1" ht="57" customHeight="1">
      <c r="A27" s="319">
        <v>25</v>
      </c>
      <c r="B27" s="319" t="s">
        <v>56</v>
      </c>
      <c r="C27" s="320" t="s">
        <v>68</v>
      </c>
      <c r="D27" s="321" t="s">
        <v>76</v>
      </c>
      <c r="E27" s="322">
        <v>2403</v>
      </c>
      <c r="F27" s="323" t="s">
        <v>90</v>
      </c>
      <c r="G27" s="319" t="s">
        <v>122</v>
      </c>
      <c r="H27" s="324">
        <v>0.98599999999999999</v>
      </c>
      <c r="I27" s="325" t="s">
        <v>416</v>
      </c>
      <c r="J27" s="326">
        <v>4357911</v>
      </c>
      <c r="K27" s="327">
        <f t="shared" si="8"/>
        <v>2396851.0499999998</v>
      </c>
      <c r="L27" s="328">
        <f t="shared" si="9"/>
        <v>1961059.9500000002</v>
      </c>
      <c r="M27" s="350">
        <v>0.55000000000000004</v>
      </c>
      <c r="N27" s="327">
        <v>0</v>
      </c>
      <c r="O27" s="328">
        <v>2396851.0499999998</v>
      </c>
      <c r="P27" s="327"/>
      <c r="Q27" s="328"/>
      <c r="R27" s="328"/>
      <c r="S27" s="328"/>
      <c r="T27" s="328"/>
      <c r="U27" s="328"/>
      <c r="V27" s="328"/>
      <c r="W27" s="328"/>
      <c r="X27" s="293" t="b">
        <f t="shared" si="10"/>
        <v>1</v>
      </c>
      <c r="Y27" s="294">
        <f t="shared" si="11"/>
        <v>0.55000000000000004</v>
      </c>
      <c r="Z27" s="295" t="b">
        <f t="shared" si="12"/>
        <v>1</v>
      </c>
      <c r="AA27" s="295" t="b">
        <f t="shared" si="13"/>
        <v>1</v>
      </c>
    </row>
    <row r="28" spans="1:27" s="196" customFormat="1" ht="45.75">
      <c r="A28" s="319">
        <v>26</v>
      </c>
      <c r="B28" s="319" t="s">
        <v>57</v>
      </c>
      <c r="C28" s="320" t="s">
        <v>68</v>
      </c>
      <c r="D28" s="321" t="s">
        <v>69</v>
      </c>
      <c r="E28" s="322">
        <v>2402</v>
      </c>
      <c r="F28" s="323" t="s">
        <v>91</v>
      </c>
      <c r="G28" s="319" t="s">
        <v>124</v>
      </c>
      <c r="H28" s="324">
        <v>1.0289999999999999</v>
      </c>
      <c r="I28" s="325" t="s">
        <v>409</v>
      </c>
      <c r="J28" s="326">
        <v>8001543</v>
      </c>
      <c r="K28" s="327">
        <f t="shared" si="8"/>
        <v>4400848.6500000004</v>
      </c>
      <c r="L28" s="328">
        <f t="shared" si="9"/>
        <v>3600694.3499999996</v>
      </c>
      <c r="M28" s="350">
        <v>0.55000000000000004</v>
      </c>
      <c r="N28" s="327">
        <v>0</v>
      </c>
      <c r="O28" s="328">
        <v>4400848.6500000004</v>
      </c>
      <c r="P28" s="327"/>
      <c r="Q28" s="328"/>
      <c r="R28" s="328"/>
      <c r="S28" s="328"/>
      <c r="T28" s="328"/>
      <c r="U28" s="328"/>
      <c r="V28" s="328"/>
      <c r="W28" s="328"/>
      <c r="X28" s="293" t="b">
        <f t="shared" si="10"/>
        <v>1</v>
      </c>
      <c r="Y28" s="294">
        <f t="shared" si="11"/>
        <v>0.55000000000000004</v>
      </c>
      <c r="Z28" s="295" t="b">
        <f t="shared" si="12"/>
        <v>1</v>
      </c>
      <c r="AA28" s="295" t="b">
        <f t="shared" si="13"/>
        <v>1</v>
      </c>
    </row>
    <row r="29" spans="1:27" s="196" customFormat="1" ht="45.75">
      <c r="A29" s="319">
        <v>27</v>
      </c>
      <c r="B29" s="319" t="s">
        <v>58</v>
      </c>
      <c r="C29" s="320" t="s">
        <v>68</v>
      </c>
      <c r="D29" s="321" t="s">
        <v>74</v>
      </c>
      <c r="E29" s="322">
        <v>2416</v>
      </c>
      <c r="F29" s="323" t="s">
        <v>92</v>
      </c>
      <c r="G29" s="319" t="s">
        <v>124</v>
      </c>
      <c r="H29" s="329">
        <v>5.5049999999999999</v>
      </c>
      <c r="I29" s="325" t="s">
        <v>415</v>
      </c>
      <c r="J29" s="326">
        <v>3456000</v>
      </c>
      <c r="K29" s="327">
        <f>ROUNDDOWN(J29*M29,0)</f>
        <v>2764800</v>
      </c>
      <c r="L29" s="328">
        <f>J29-K29</f>
        <v>691200</v>
      </c>
      <c r="M29" s="350">
        <v>0.8</v>
      </c>
      <c r="N29" s="327"/>
      <c r="O29" s="328">
        <f>K29</f>
        <v>2764800</v>
      </c>
      <c r="P29" s="327"/>
      <c r="Q29" s="328"/>
      <c r="R29" s="328"/>
      <c r="S29" s="328"/>
      <c r="T29" s="328"/>
      <c r="U29" s="328"/>
      <c r="V29" s="328"/>
      <c r="W29" s="328"/>
      <c r="X29" s="293" t="b">
        <f t="shared" si="10"/>
        <v>1</v>
      </c>
      <c r="Y29" s="294">
        <f t="shared" si="11"/>
        <v>0.8</v>
      </c>
      <c r="Z29" s="295" t="b">
        <f t="shared" si="12"/>
        <v>1</v>
      </c>
      <c r="AA29" s="295" t="b">
        <f t="shared" si="13"/>
        <v>1</v>
      </c>
    </row>
    <row r="30" spans="1:27" s="196" customFormat="1" ht="23.25">
      <c r="A30" s="319">
        <v>28</v>
      </c>
      <c r="B30" s="319" t="s">
        <v>59</v>
      </c>
      <c r="C30" s="320" t="s">
        <v>68</v>
      </c>
      <c r="D30" s="321" t="s">
        <v>77</v>
      </c>
      <c r="E30" s="322">
        <v>2413</v>
      </c>
      <c r="F30" s="323" t="s">
        <v>93</v>
      </c>
      <c r="G30" s="319" t="s">
        <v>122</v>
      </c>
      <c r="H30" s="324">
        <v>0.70099999999999996</v>
      </c>
      <c r="I30" s="325" t="s">
        <v>408</v>
      </c>
      <c r="J30" s="326">
        <v>6968000</v>
      </c>
      <c r="K30" s="327">
        <f t="shared" si="8"/>
        <v>3484000</v>
      </c>
      <c r="L30" s="328">
        <f t="shared" si="9"/>
        <v>3484000</v>
      </c>
      <c r="M30" s="350">
        <v>0.5</v>
      </c>
      <c r="N30" s="327">
        <v>0</v>
      </c>
      <c r="O30" s="328">
        <v>3484000</v>
      </c>
      <c r="P30" s="327"/>
      <c r="Q30" s="328"/>
      <c r="R30" s="328"/>
      <c r="S30" s="328"/>
      <c r="T30" s="328"/>
      <c r="U30" s="328"/>
      <c r="V30" s="328"/>
      <c r="W30" s="328"/>
      <c r="X30" s="293" t="b">
        <f t="shared" si="10"/>
        <v>1</v>
      </c>
      <c r="Y30" s="294">
        <f t="shared" si="11"/>
        <v>0.5</v>
      </c>
      <c r="Z30" s="295" t="b">
        <f t="shared" si="12"/>
        <v>1</v>
      </c>
      <c r="AA30" s="295" t="b">
        <f t="shared" si="13"/>
        <v>1</v>
      </c>
    </row>
    <row r="31" spans="1:27" s="196" customFormat="1" ht="23.25">
      <c r="A31" s="319">
        <v>29</v>
      </c>
      <c r="B31" s="319" t="s">
        <v>60</v>
      </c>
      <c r="C31" s="320" t="s">
        <v>68</v>
      </c>
      <c r="D31" s="321" t="s">
        <v>78</v>
      </c>
      <c r="E31" s="322">
        <v>2409</v>
      </c>
      <c r="F31" s="323" t="s">
        <v>94</v>
      </c>
      <c r="G31" s="319" t="s">
        <v>124</v>
      </c>
      <c r="H31" s="324">
        <v>2.2709999999999999</v>
      </c>
      <c r="I31" s="325" t="s">
        <v>419</v>
      </c>
      <c r="J31" s="326">
        <v>2100412</v>
      </c>
      <c r="K31" s="327">
        <v>1575309</v>
      </c>
      <c r="L31" s="328">
        <v>525103</v>
      </c>
      <c r="M31" s="350">
        <v>0.75</v>
      </c>
      <c r="N31" s="327"/>
      <c r="O31" s="328">
        <v>1575309</v>
      </c>
      <c r="P31" s="327"/>
      <c r="Q31" s="328"/>
      <c r="R31" s="328"/>
      <c r="S31" s="328"/>
      <c r="T31" s="328"/>
      <c r="U31" s="328"/>
      <c r="V31" s="328"/>
      <c r="W31" s="328"/>
      <c r="X31" s="293" t="b">
        <f t="shared" si="10"/>
        <v>1</v>
      </c>
      <c r="Y31" s="294">
        <f t="shared" si="11"/>
        <v>0.75</v>
      </c>
      <c r="Z31" s="295" t="b">
        <f t="shared" si="12"/>
        <v>1</v>
      </c>
      <c r="AA31" s="295" t="b">
        <f t="shared" si="13"/>
        <v>1</v>
      </c>
    </row>
    <row r="32" spans="1:27" s="196" customFormat="1" ht="34.5">
      <c r="A32" s="319">
        <v>30</v>
      </c>
      <c r="B32" s="319" t="s">
        <v>61</v>
      </c>
      <c r="C32" s="320" t="s">
        <v>68</v>
      </c>
      <c r="D32" s="321" t="s">
        <v>79</v>
      </c>
      <c r="E32" s="322">
        <v>2417</v>
      </c>
      <c r="F32" s="323" t="s">
        <v>95</v>
      </c>
      <c r="G32" s="319" t="s">
        <v>124</v>
      </c>
      <c r="H32" s="324">
        <v>1.2969999999999999</v>
      </c>
      <c r="I32" s="325" t="s">
        <v>420</v>
      </c>
      <c r="J32" s="326">
        <v>2673522</v>
      </c>
      <c r="K32" s="327">
        <v>1871465</v>
      </c>
      <c r="L32" s="328">
        <v>802057</v>
      </c>
      <c r="M32" s="350">
        <v>0.7</v>
      </c>
      <c r="N32" s="327"/>
      <c r="O32" s="328">
        <v>1871465</v>
      </c>
      <c r="P32" s="327"/>
      <c r="Q32" s="328"/>
      <c r="R32" s="328"/>
      <c r="S32" s="328"/>
      <c r="T32" s="328"/>
      <c r="U32" s="328"/>
      <c r="V32" s="328"/>
      <c r="W32" s="328"/>
      <c r="X32" s="293" t="b">
        <f t="shared" si="10"/>
        <v>1</v>
      </c>
      <c r="Y32" s="294">
        <f t="shared" si="11"/>
        <v>0.7</v>
      </c>
      <c r="Z32" s="295" t="b">
        <f t="shared" si="12"/>
        <v>1</v>
      </c>
      <c r="AA32" s="295" t="b">
        <f t="shared" si="13"/>
        <v>1</v>
      </c>
    </row>
    <row r="33" spans="1:27" s="196" customFormat="1" ht="23.25">
      <c r="A33" s="319">
        <v>31</v>
      </c>
      <c r="B33" s="319" t="s">
        <v>62</v>
      </c>
      <c r="C33" s="319" t="s">
        <v>68</v>
      </c>
      <c r="D33" s="321" t="s">
        <v>76</v>
      </c>
      <c r="E33" s="322">
        <v>2403</v>
      </c>
      <c r="F33" s="323" t="s">
        <v>96</v>
      </c>
      <c r="G33" s="319" t="s">
        <v>417</v>
      </c>
      <c r="H33" s="324">
        <v>0.98599999999999999</v>
      </c>
      <c r="I33" s="325" t="s">
        <v>418</v>
      </c>
      <c r="J33" s="326">
        <v>1202046</v>
      </c>
      <c r="K33" s="327">
        <f t="shared" si="8"/>
        <v>661125.30000000005</v>
      </c>
      <c r="L33" s="328">
        <f t="shared" si="9"/>
        <v>540920.69999999995</v>
      </c>
      <c r="M33" s="350">
        <v>0.55000000000000004</v>
      </c>
      <c r="N33" s="327">
        <v>0</v>
      </c>
      <c r="O33" s="328">
        <v>661125.30000000005</v>
      </c>
      <c r="P33" s="327"/>
      <c r="Q33" s="328"/>
      <c r="R33" s="328"/>
      <c r="S33" s="328"/>
      <c r="T33" s="328"/>
      <c r="U33" s="328"/>
      <c r="V33" s="328"/>
      <c r="W33" s="328"/>
      <c r="X33" s="293" t="b">
        <f t="shared" si="10"/>
        <v>1</v>
      </c>
      <c r="Y33" s="294">
        <f t="shared" si="11"/>
        <v>0.55000000000000004</v>
      </c>
      <c r="Z33" s="295" t="b">
        <f t="shared" si="12"/>
        <v>1</v>
      </c>
      <c r="AA33" s="295" t="b">
        <f t="shared" si="13"/>
        <v>1</v>
      </c>
    </row>
    <row r="34" spans="1:27" s="196" customFormat="1" ht="22.5">
      <c r="A34" s="319">
        <v>32</v>
      </c>
      <c r="B34" s="319" t="s">
        <v>63</v>
      </c>
      <c r="C34" s="319" t="s">
        <v>68</v>
      </c>
      <c r="D34" s="321" t="s">
        <v>80</v>
      </c>
      <c r="E34" s="330">
        <v>2464011</v>
      </c>
      <c r="F34" s="323" t="s">
        <v>97</v>
      </c>
      <c r="G34" s="319" t="s">
        <v>124</v>
      </c>
      <c r="H34" s="324">
        <v>0.26</v>
      </c>
      <c r="I34" s="325" t="s">
        <v>419</v>
      </c>
      <c r="J34" s="326">
        <v>2199653</v>
      </c>
      <c r="K34" s="327">
        <f t="shared" si="8"/>
        <v>1099826.5</v>
      </c>
      <c r="L34" s="328">
        <f t="shared" si="9"/>
        <v>1099826.5</v>
      </c>
      <c r="M34" s="350">
        <v>0.5</v>
      </c>
      <c r="N34" s="327">
        <v>0</v>
      </c>
      <c r="O34" s="328">
        <v>1099826.5</v>
      </c>
      <c r="P34" s="327"/>
      <c r="Q34" s="328"/>
      <c r="R34" s="328"/>
      <c r="S34" s="328"/>
      <c r="T34" s="328"/>
      <c r="U34" s="328"/>
      <c r="V34" s="328"/>
      <c r="W34" s="328"/>
      <c r="X34" s="293" t="b">
        <f t="shared" si="10"/>
        <v>1</v>
      </c>
      <c r="Y34" s="294">
        <f t="shared" si="11"/>
        <v>0.5</v>
      </c>
      <c r="Z34" s="295" t="b">
        <f t="shared" si="12"/>
        <v>1</v>
      </c>
      <c r="AA34" s="295" t="b">
        <f t="shared" si="13"/>
        <v>1</v>
      </c>
    </row>
    <row r="35" spans="1:27" s="112" customFormat="1" ht="23.25">
      <c r="A35" s="296">
        <v>33</v>
      </c>
      <c r="B35" s="296" t="s">
        <v>64</v>
      </c>
      <c r="C35" s="296" t="s">
        <v>67</v>
      </c>
      <c r="D35" s="314" t="s">
        <v>81</v>
      </c>
      <c r="E35" s="307">
        <v>2470011</v>
      </c>
      <c r="F35" s="316" t="s">
        <v>98</v>
      </c>
      <c r="G35" s="296" t="s">
        <v>124</v>
      </c>
      <c r="H35" s="317">
        <v>0.83299999999999996</v>
      </c>
      <c r="I35" s="318" t="s">
        <v>422</v>
      </c>
      <c r="J35" s="308">
        <v>10441417</v>
      </c>
      <c r="K35" s="305">
        <f t="shared" si="8"/>
        <v>5220708.5</v>
      </c>
      <c r="L35" s="304">
        <f t="shared" si="9"/>
        <v>5220708.5</v>
      </c>
      <c r="M35" s="349">
        <v>0.5</v>
      </c>
      <c r="N35" s="305">
        <v>0</v>
      </c>
      <c r="O35" s="305">
        <v>1566212.5</v>
      </c>
      <c r="P35" s="304">
        <v>3654496</v>
      </c>
      <c r="Q35" s="304"/>
      <c r="R35" s="304"/>
      <c r="S35" s="304"/>
      <c r="T35" s="304"/>
      <c r="U35" s="304"/>
      <c r="V35" s="304"/>
      <c r="W35" s="304"/>
      <c r="X35" s="293" t="b">
        <f t="shared" si="10"/>
        <v>1</v>
      </c>
      <c r="Y35" s="294">
        <f t="shared" si="11"/>
        <v>0.5</v>
      </c>
      <c r="Z35" s="295" t="b">
        <f t="shared" si="12"/>
        <v>1</v>
      </c>
      <c r="AA35" s="295" t="b">
        <f t="shared" si="13"/>
        <v>1</v>
      </c>
    </row>
    <row r="36" spans="1:27" s="196" customFormat="1" ht="23.25">
      <c r="A36" s="319">
        <v>34</v>
      </c>
      <c r="B36" s="319" t="s">
        <v>65</v>
      </c>
      <c r="C36" s="319" t="s">
        <v>68</v>
      </c>
      <c r="D36" s="321" t="s">
        <v>75</v>
      </c>
      <c r="E36" s="329">
        <v>2415</v>
      </c>
      <c r="F36" s="323" t="s">
        <v>99</v>
      </c>
      <c r="G36" s="319" t="s">
        <v>124</v>
      </c>
      <c r="H36" s="324">
        <v>1.1890000000000001</v>
      </c>
      <c r="I36" s="325" t="s">
        <v>415</v>
      </c>
      <c r="J36" s="326">
        <v>3855685</v>
      </c>
      <c r="K36" s="327">
        <f t="shared" si="8"/>
        <v>1927842.5</v>
      </c>
      <c r="L36" s="328">
        <f t="shared" si="9"/>
        <v>1927842.5</v>
      </c>
      <c r="M36" s="350">
        <v>0.5</v>
      </c>
      <c r="N36" s="327">
        <v>0</v>
      </c>
      <c r="O36" s="327">
        <v>1927842.5</v>
      </c>
      <c r="P36" s="327"/>
      <c r="Q36" s="328"/>
      <c r="R36" s="328"/>
      <c r="S36" s="328"/>
      <c r="T36" s="328"/>
      <c r="U36" s="328"/>
      <c r="V36" s="328"/>
      <c r="W36" s="328"/>
      <c r="X36" s="293" t="b">
        <f t="shared" si="10"/>
        <v>1</v>
      </c>
      <c r="Y36" s="294">
        <f t="shared" si="11"/>
        <v>0.5</v>
      </c>
      <c r="Z36" s="295" t="b">
        <f t="shared" si="12"/>
        <v>1</v>
      </c>
      <c r="AA36" s="295" t="b">
        <f t="shared" si="13"/>
        <v>1</v>
      </c>
    </row>
    <row r="37" spans="1:27" s="196" customFormat="1" ht="23.25">
      <c r="A37" s="440" t="s">
        <v>528</v>
      </c>
      <c r="B37" s="331" t="s">
        <v>66</v>
      </c>
      <c r="C37" s="331" t="s">
        <v>68</v>
      </c>
      <c r="D37" s="332" t="s">
        <v>529</v>
      </c>
      <c r="E37" s="333">
        <v>2414</v>
      </c>
      <c r="F37" s="334" t="s">
        <v>100</v>
      </c>
      <c r="G37" s="331" t="s">
        <v>124</v>
      </c>
      <c r="H37" s="335">
        <v>0.39300000000000002</v>
      </c>
      <c r="I37" s="336" t="s">
        <v>424</v>
      </c>
      <c r="J37" s="337">
        <v>966000</v>
      </c>
      <c r="K37" s="338">
        <v>183000</v>
      </c>
      <c r="L37" s="339">
        <f t="shared" si="9"/>
        <v>783000</v>
      </c>
      <c r="M37" s="351">
        <v>0.5</v>
      </c>
      <c r="N37" s="338">
        <v>0</v>
      </c>
      <c r="O37" s="338">
        <v>183000</v>
      </c>
      <c r="P37" s="338"/>
      <c r="Q37" s="339"/>
      <c r="R37" s="328"/>
      <c r="S37" s="328"/>
      <c r="T37" s="328"/>
      <c r="U37" s="328"/>
      <c r="V37" s="328"/>
      <c r="W37" s="328"/>
      <c r="X37" s="293" t="b">
        <f t="shared" si="10"/>
        <v>1</v>
      </c>
      <c r="Y37" s="294">
        <f t="shared" si="11"/>
        <v>0.18940000000000001</v>
      </c>
      <c r="Z37" s="295" t="b">
        <f t="shared" si="12"/>
        <v>0</v>
      </c>
      <c r="AA37" s="295" t="b">
        <f t="shared" si="13"/>
        <v>1</v>
      </c>
    </row>
    <row r="38" spans="1:27" ht="20.100000000000001" customHeight="1">
      <c r="A38" s="486" t="s">
        <v>44</v>
      </c>
      <c r="B38" s="487"/>
      <c r="C38" s="487"/>
      <c r="D38" s="487"/>
      <c r="E38" s="487"/>
      <c r="F38" s="487"/>
      <c r="G38" s="488"/>
      <c r="H38" s="340">
        <f>SUM(H3:H37)</f>
        <v>70.017000000000024</v>
      </c>
      <c r="I38" s="341" t="s">
        <v>14</v>
      </c>
      <c r="J38" s="328">
        <f>SUM(J3:J37)</f>
        <v>312240175</v>
      </c>
      <c r="K38" s="328">
        <f>SUM(K3:K37)</f>
        <v>162539838.02000007</v>
      </c>
      <c r="L38" s="328">
        <f>SUM(L3:L37)</f>
        <v>149700336.97999996</v>
      </c>
      <c r="M38" s="350" t="s">
        <v>14</v>
      </c>
      <c r="N38" s="328">
        <f>SUM(N3:N37)</f>
        <v>23060229.150000002</v>
      </c>
      <c r="O38" s="328">
        <f t="shared" ref="O38:W38" si="14">SUM(O3:O37)</f>
        <v>91891130.770000011</v>
      </c>
      <c r="P38" s="328">
        <f t="shared" si="14"/>
        <v>36436713.600000001</v>
      </c>
      <c r="Q38" s="328">
        <f t="shared" si="14"/>
        <v>11151764.5</v>
      </c>
      <c r="R38" s="328">
        <f t="shared" si="14"/>
        <v>0</v>
      </c>
      <c r="S38" s="328">
        <f t="shared" si="14"/>
        <v>0</v>
      </c>
      <c r="T38" s="328">
        <f t="shared" si="14"/>
        <v>0</v>
      </c>
      <c r="U38" s="328">
        <f t="shared" si="14"/>
        <v>0</v>
      </c>
      <c r="V38" s="328">
        <f t="shared" si="14"/>
        <v>0</v>
      </c>
      <c r="W38" s="328">
        <f t="shared" si="14"/>
        <v>0</v>
      </c>
      <c r="X38" s="278" t="b">
        <f t="shared" ref="X38" si="15">K38=SUM(N38:W38)</f>
        <v>1</v>
      </c>
      <c r="Y38" s="342">
        <f t="shared" ref="Y38:Y40" si="16">ROUND(K38/J38,4)</f>
        <v>0.52059999999999995</v>
      </c>
      <c r="Z38" s="343" t="s">
        <v>14</v>
      </c>
      <c r="AA38" s="343" t="b">
        <f t="shared" ref="AA38:AA40" si="17">J38=K38+L38</f>
        <v>1</v>
      </c>
    </row>
    <row r="39" spans="1:27" s="112" customFormat="1" ht="20.100000000000001" customHeight="1">
      <c r="A39" s="483" t="s">
        <v>37</v>
      </c>
      <c r="B39" s="484"/>
      <c r="C39" s="484"/>
      <c r="D39" s="484"/>
      <c r="E39" s="484"/>
      <c r="F39" s="484"/>
      <c r="G39" s="485"/>
      <c r="H39" s="344">
        <f>SUMIF($C$3:$C$37,"K",H3:H37)</f>
        <v>40.686000000000007</v>
      </c>
      <c r="I39" s="345" t="s">
        <v>14</v>
      </c>
      <c r="J39" s="304">
        <f>SUMIF($C$3:$C$37,"K",J3:J37)</f>
        <v>186715345</v>
      </c>
      <c r="K39" s="304">
        <f>SUMIF($C$3:$C$37,"K",K3:K37)</f>
        <v>92964552.120000005</v>
      </c>
      <c r="L39" s="304">
        <f>SUMIF($C$3:$C$37,"K",L3:L37)</f>
        <v>93750792.879999995</v>
      </c>
      <c r="M39" s="349" t="s">
        <v>14</v>
      </c>
      <c r="N39" s="304">
        <f>SUMIF($C$3:$C$37,"K",N3:N37)</f>
        <v>23060229.150000002</v>
      </c>
      <c r="O39" s="304">
        <f t="shared" ref="O39:W39" si="18">SUMIF($C$3:$C$37,"K",O3:O37)</f>
        <v>43327319.270000003</v>
      </c>
      <c r="P39" s="304">
        <f t="shared" si="18"/>
        <v>17925239.200000003</v>
      </c>
      <c r="Q39" s="304">
        <f t="shared" si="18"/>
        <v>8651764.5</v>
      </c>
      <c r="R39" s="304">
        <f t="shared" si="18"/>
        <v>0</v>
      </c>
      <c r="S39" s="304">
        <f t="shared" si="18"/>
        <v>0</v>
      </c>
      <c r="T39" s="304">
        <f t="shared" si="18"/>
        <v>0</v>
      </c>
      <c r="U39" s="304">
        <f t="shared" si="18"/>
        <v>0</v>
      </c>
      <c r="V39" s="304">
        <f t="shared" si="18"/>
        <v>0</v>
      </c>
      <c r="W39" s="304">
        <f t="shared" si="18"/>
        <v>0</v>
      </c>
      <c r="X39" s="293" t="b">
        <f t="shared" ref="X39" si="19">K39=SUM(N39:W39)</f>
        <v>1</v>
      </c>
      <c r="Y39" s="294">
        <f t="shared" ref="Y39" si="20">ROUND(K39/J39,4)</f>
        <v>0.49790000000000001</v>
      </c>
      <c r="Z39" s="295" t="s">
        <v>14</v>
      </c>
      <c r="AA39" s="295" t="b">
        <f t="shared" ref="AA39" si="21">J39=K39+L39</f>
        <v>1</v>
      </c>
    </row>
    <row r="40" spans="1:27" ht="20.100000000000001" customHeight="1">
      <c r="A40" s="486" t="s">
        <v>38</v>
      </c>
      <c r="B40" s="487"/>
      <c r="C40" s="487"/>
      <c r="D40" s="487"/>
      <c r="E40" s="487"/>
      <c r="F40" s="487"/>
      <c r="G40" s="488"/>
      <c r="H40" s="340">
        <f>SUMIF($C$3:$C$37,"N",H3:H37)</f>
        <v>22.972000000000005</v>
      </c>
      <c r="I40" s="341" t="s">
        <v>14</v>
      </c>
      <c r="J40" s="328">
        <f>SUMIF($C$3:$C$37,"N",J3:J37)</f>
        <v>63696166</v>
      </c>
      <c r="K40" s="328">
        <f>SUMIF($C$3:$C$37,"N",K3:K37)</f>
        <v>37862599</v>
      </c>
      <c r="L40" s="328">
        <f>SUMIF($C$3:$C$37,"N",L3:L37)</f>
        <v>25833566.999999996</v>
      </c>
      <c r="M40" s="350" t="s">
        <v>14</v>
      </c>
      <c r="N40" s="328">
        <f>SUMIF($C$3:$C$37,"N",N3:N37)</f>
        <v>0</v>
      </c>
      <c r="O40" s="328">
        <f t="shared" ref="O40:W40" si="22">SUMIF($C$3:$C$37,"N",O3:O37)</f>
        <v>37862599</v>
      </c>
      <c r="P40" s="328">
        <f t="shared" si="22"/>
        <v>0</v>
      </c>
      <c r="Q40" s="328">
        <f t="shared" si="22"/>
        <v>0</v>
      </c>
      <c r="R40" s="328">
        <f t="shared" si="22"/>
        <v>0</v>
      </c>
      <c r="S40" s="328">
        <f t="shared" si="22"/>
        <v>0</v>
      </c>
      <c r="T40" s="328">
        <f t="shared" si="22"/>
        <v>0</v>
      </c>
      <c r="U40" s="328">
        <f t="shared" si="22"/>
        <v>0</v>
      </c>
      <c r="V40" s="328">
        <f t="shared" si="22"/>
        <v>0</v>
      </c>
      <c r="W40" s="328">
        <f t="shared" si="22"/>
        <v>0</v>
      </c>
      <c r="X40" s="278" t="b">
        <f>K40=SUM(N40:W40)</f>
        <v>1</v>
      </c>
      <c r="Y40" s="342">
        <f t="shared" si="16"/>
        <v>0.59440000000000004</v>
      </c>
      <c r="Z40" s="343" t="s">
        <v>14</v>
      </c>
      <c r="AA40" s="343" t="b">
        <f t="shared" si="17"/>
        <v>1</v>
      </c>
    </row>
    <row r="41" spans="1:27" s="112" customFormat="1" ht="20.100000000000001" customHeight="1">
      <c r="A41" s="483" t="s">
        <v>39</v>
      </c>
      <c r="B41" s="484"/>
      <c r="C41" s="484"/>
      <c r="D41" s="484"/>
      <c r="E41" s="484"/>
      <c r="F41" s="484"/>
      <c r="G41" s="485"/>
      <c r="H41" s="344">
        <f>SUMIF($C$3:$C$37,"W",H3:H37)</f>
        <v>6.359</v>
      </c>
      <c r="I41" s="345" t="s">
        <v>14</v>
      </c>
      <c r="J41" s="304">
        <f>SUMIF($C$3:$C$37,"W",J3:J37)</f>
        <v>61828664</v>
      </c>
      <c r="K41" s="304">
        <f>SUMIF($C$3:$C$37,"W",K3:K37)</f>
        <v>31712686.899999999</v>
      </c>
      <c r="L41" s="304">
        <f>SUMIF($C$18:$C$37,"W",L18:L37)</f>
        <v>30115977.100000001</v>
      </c>
      <c r="M41" s="349" t="s">
        <v>14</v>
      </c>
      <c r="N41" s="304">
        <f>SUMIF($C$3:$C$37,"W",N3:N37)</f>
        <v>0</v>
      </c>
      <c r="O41" s="304">
        <f t="shared" ref="O41:W41" si="23">SUMIF($C$3:$C$37,"W",O3:O37)</f>
        <v>10701212.5</v>
      </c>
      <c r="P41" s="304">
        <f t="shared" si="23"/>
        <v>18511474.399999999</v>
      </c>
      <c r="Q41" s="304">
        <f t="shared" si="23"/>
        <v>2500000</v>
      </c>
      <c r="R41" s="304">
        <f t="shared" si="23"/>
        <v>0</v>
      </c>
      <c r="S41" s="304">
        <f t="shared" si="23"/>
        <v>0</v>
      </c>
      <c r="T41" s="304">
        <f t="shared" si="23"/>
        <v>0</v>
      </c>
      <c r="U41" s="304">
        <f t="shared" si="23"/>
        <v>0</v>
      </c>
      <c r="V41" s="304">
        <f t="shared" si="23"/>
        <v>0</v>
      </c>
      <c r="W41" s="304">
        <f t="shared" si="23"/>
        <v>0</v>
      </c>
      <c r="X41" s="293" t="b">
        <f t="shared" ref="X41" si="24">K41=SUM(N41:W41)</f>
        <v>1</v>
      </c>
      <c r="Y41" s="294">
        <f t="shared" ref="Y41" si="25">ROUND(K41/J41,4)</f>
        <v>0.51290000000000002</v>
      </c>
      <c r="Z41" s="295" t="s">
        <v>14</v>
      </c>
      <c r="AA41" s="295" t="b">
        <f t="shared" ref="AA41" si="26">J41=K41+L41</f>
        <v>1</v>
      </c>
    </row>
    <row r="42" spans="1:27">
      <c r="A42" s="135"/>
      <c r="B42" s="139"/>
      <c r="C42" s="135"/>
      <c r="D42" s="161"/>
      <c r="E42" s="162"/>
      <c r="F42" s="31"/>
      <c r="G42" s="135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</row>
    <row r="43" spans="1:27">
      <c r="A43" s="352" t="s">
        <v>24</v>
      </c>
      <c r="B43" s="140"/>
      <c r="C43" s="136"/>
      <c r="D43" s="29"/>
      <c r="E43" s="136"/>
      <c r="F43" s="29"/>
      <c r="G43" s="136"/>
      <c r="J43" s="14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"/>
      <c r="AA43" s="37"/>
    </row>
    <row r="44" spans="1:27">
      <c r="A44" s="353" t="s">
        <v>25</v>
      </c>
      <c r="B44" s="141"/>
      <c r="C44" s="137"/>
      <c r="D44" s="30"/>
      <c r="E44" s="137"/>
      <c r="F44" s="30"/>
      <c r="G44" s="137"/>
      <c r="J44" s="150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"/>
    </row>
    <row r="45" spans="1:27">
      <c r="A45" s="352" t="s">
        <v>42</v>
      </c>
      <c r="B45" s="139"/>
      <c r="C45" s="135"/>
      <c r="D45" s="161"/>
      <c r="E45" s="162"/>
      <c r="F45" s="31"/>
      <c r="G45" s="135"/>
      <c r="J45" s="150"/>
    </row>
    <row r="46" spans="1:27">
      <c r="A46" s="354" t="s">
        <v>28</v>
      </c>
      <c r="B46" s="142"/>
      <c r="C46" s="138"/>
      <c r="D46" s="34"/>
      <c r="E46" s="163"/>
      <c r="F46" s="32"/>
      <c r="G46" s="138"/>
      <c r="J46" s="150"/>
    </row>
  </sheetData>
  <mergeCells count="18">
    <mergeCell ref="M1:M2"/>
    <mergeCell ref="N1:W1"/>
    <mergeCell ref="H1:H2"/>
    <mergeCell ref="I1:I2"/>
    <mergeCell ref="J1:J2"/>
    <mergeCell ref="K1:K2"/>
    <mergeCell ref="A41:G41"/>
    <mergeCell ref="A40:G40"/>
    <mergeCell ref="A39:G39"/>
    <mergeCell ref="A38:G38"/>
    <mergeCell ref="L1:L2"/>
    <mergeCell ref="D1:D2"/>
    <mergeCell ref="E1:E2"/>
    <mergeCell ref="A1:A2"/>
    <mergeCell ref="B1:B2"/>
    <mergeCell ref="C1:C2"/>
    <mergeCell ref="F1:F2"/>
    <mergeCell ref="G1:G2"/>
  </mergeCells>
  <conditionalFormatting sqref="X3:AA39">
    <cfRule type="cellIs" dxfId="66" priority="15" operator="equal">
      <formula>FALSE</formula>
    </cfRule>
  </conditionalFormatting>
  <conditionalFormatting sqref="X3:Z39">
    <cfRule type="containsText" dxfId="65" priority="13" operator="containsText" text="fałsz">
      <formula>NOT(ISERROR(SEARCH("fałsz",X3)))</formula>
    </cfRule>
  </conditionalFormatting>
  <conditionalFormatting sqref="AA43">
    <cfRule type="cellIs" dxfId="64" priority="12" operator="equal">
      <formula>FALSE</formula>
    </cfRule>
  </conditionalFormatting>
  <conditionalFormatting sqref="AA43">
    <cfRule type="cellIs" dxfId="63" priority="11" operator="equal">
      <formula>FALSE</formula>
    </cfRule>
  </conditionalFormatting>
  <conditionalFormatting sqref="Y41:Z41">
    <cfRule type="cellIs" dxfId="62" priority="10" operator="equal">
      <formula>FALSE</formula>
    </cfRule>
  </conditionalFormatting>
  <conditionalFormatting sqref="X41">
    <cfRule type="cellIs" dxfId="61" priority="9" operator="equal">
      <formula>FALSE</formula>
    </cfRule>
  </conditionalFormatting>
  <conditionalFormatting sqref="X41:Z41">
    <cfRule type="containsText" dxfId="60" priority="8" operator="containsText" text="fałsz">
      <formula>NOT(ISERROR(SEARCH("fałsz",X41)))</formula>
    </cfRule>
  </conditionalFormatting>
  <conditionalFormatting sqref="AA41">
    <cfRule type="cellIs" dxfId="59" priority="7" operator="equal">
      <formula>FALSE</formula>
    </cfRule>
  </conditionalFormatting>
  <conditionalFormatting sqref="AA41">
    <cfRule type="cellIs" dxfId="58" priority="6" operator="equal">
      <formula>FALSE</formula>
    </cfRule>
  </conditionalFormatting>
  <conditionalFormatting sqref="Y40:Z40">
    <cfRule type="cellIs" dxfId="57" priority="5" operator="equal">
      <formula>FALSE</formula>
    </cfRule>
  </conditionalFormatting>
  <conditionalFormatting sqref="X40">
    <cfRule type="cellIs" dxfId="56" priority="4" operator="equal">
      <formula>FALSE</formula>
    </cfRule>
  </conditionalFormatting>
  <conditionalFormatting sqref="X40:Z40">
    <cfRule type="containsText" dxfId="55" priority="3" operator="containsText" text="fałsz">
      <formula>NOT(ISERROR(SEARCH("fałsz",X40)))</formula>
    </cfRule>
  </conditionalFormatting>
  <conditionalFormatting sqref="AA40">
    <cfRule type="cellIs" dxfId="54" priority="2" operator="equal">
      <formula>FALSE</formula>
    </cfRule>
  </conditionalFormatting>
  <conditionalFormatting sqref="AA40">
    <cfRule type="cellIs" dxfId="53" priority="1" operator="equal">
      <formula>FALSE</formula>
    </cfRule>
  </conditionalFormatting>
  <dataValidations count="3">
    <dataValidation type="custom" allowBlank="1" showInputMessage="1" showErrorMessage="1" sqref="B3:B16 D18:D36 D3:D16 J3:J16 J18:J37 F3:F16 F18:F37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37">
      <formula1>"B,P,R"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9"/>
  <sheetViews>
    <sheetView showGridLines="0" view="pageBreakPreview" topLeftCell="M1" zoomScale="70" zoomScaleNormal="100" zoomScaleSheetLayoutView="70" workbookViewId="0">
      <selection activeCell="F6" sqref="F6"/>
    </sheetView>
  </sheetViews>
  <sheetFormatPr defaultColWidth="9.140625" defaultRowHeight="21"/>
  <cols>
    <col min="1" max="1" width="9.5703125" style="164" customWidth="1"/>
    <col min="2" max="3" width="15.7109375" style="1" customWidth="1"/>
    <col min="4" max="4" width="33.28515625" style="245" customWidth="1"/>
    <col min="5" max="5" width="15.7109375" style="152" customWidth="1"/>
    <col min="6" max="6" width="15.7109375" style="116" customWidth="1"/>
    <col min="7" max="7" width="55.5703125" style="116" customWidth="1"/>
    <col min="8" max="9" width="15.7109375" style="36" customWidth="1"/>
    <col min="10" max="10" width="15.7109375" style="249" customWidth="1"/>
    <col min="11" max="11" width="17" style="128" customWidth="1"/>
    <col min="12" max="12" width="15.7109375" style="116" customWidth="1"/>
    <col min="13" max="13" width="18.5703125" style="116" customWidth="1"/>
    <col min="14" max="14" width="11.28515625" style="129" customWidth="1"/>
    <col min="15" max="16" width="15.7109375" style="116" customWidth="1"/>
    <col min="17" max="17" width="15.7109375" style="126" customWidth="1"/>
    <col min="18" max="23" width="15.7109375" style="116" customWidth="1"/>
    <col min="24" max="24" width="15.7109375" style="240" customWidth="1"/>
    <col min="25" max="27" width="15.7109375" style="127" customWidth="1"/>
    <col min="28" max="28" width="15.7109375" style="116" customWidth="1"/>
    <col min="29" max="16384" width="9.140625" style="116"/>
  </cols>
  <sheetData>
    <row r="1" spans="1:28" s="235" customFormat="1" ht="25.15" customHeight="1">
      <c r="A1" s="502" t="s">
        <v>4</v>
      </c>
      <c r="B1" s="502" t="s">
        <v>5</v>
      </c>
      <c r="C1" s="506" t="s">
        <v>43</v>
      </c>
      <c r="D1" s="500" t="s">
        <v>6</v>
      </c>
      <c r="E1" s="500" t="s">
        <v>33</v>
      </c>
      <c r="F1" s="500" t="s">
        <v>15</v>
      </c>
      <c r="G1" s="502" t="s">
        <v>7</v>
      </c>
      <c r="H1" s="502" t="s">
        <v>26</v>
      </c>
      <c r="I1" s="502" t="s">
        <v>8</v>
      </c>
      <c r="J1" s="502" t="s">
        <v>27</v>
      </c>
      <c r="K1" s="504" t="s">
        <v>9</v>
      </c>
      <c r="L1" s="502" t="s">
        <v>17</v>
      </c>
      <c r="M1" s="500" t="s">
        <v>13</v>
      </c>
      <c r="N1" s="502" t="s">
        <v>11</v>
      </c>
      <c r="O1" s="502" t="s">
        <v>12</v>
      </c>
      <c r="P1" s="502"/>
      <c r="Q1" s="502"/>
      <c r="R1" s="502"/>
      <c r="S1" s="502"/>
      <c r="T1" s="502"/>
      <c r="U1" s="502"/>
      <c r="V1" s="502"/>
      <c r="W1" s="502"/>
      <c r="X1" s="502"/>
      <c r="Y1" s="236"/>
      <c r="Z1" s="236"/>
      <c r="AA1" s="236"/>
      <c r="AB1" s="237"/>
    </row>
    <row r="2" spans="1:28" s="235" customFormat="1" ht="20.100000000000001" customHeight="1" thickBot="1">
      <c r="A2" s="505"/>
      <c r="B2" s="502"/>
      <c r="C2" s="507"/>
      <c r="D2" s="503"/>
      <c r="E2" s="501"/>
      <c r="F2" s="503"/>
      <c r="G2" s="502"/>
      <c r="H2" s="502"/>
      <c r="I2" s="502"/>
      <c r="J2" s="502"/>
      <c r="K2" s="504"/>
      <c r="L2" s="502"/>
      <c r="M2" s="503"/>
      <c r="N2" s="502"/>
      <c r="O2" s="238">
        <v>2019</v>
      </c>
      <c r="P2" s="238">
        <v>2020</v>
      </c>
      <c r="Q2" s="238">
        <v>2021</v>
      </c>
      <c r="R2" s="238">
        <v>2022</v>
      </c>
      <c r="S2" s="238">
        <v>2023</v>
      </c>
      <c r="T2" s="238">
        <v>2024</v>
      </c>
      <c r="U2" s="238">
        <v>2025</v>
      </c>
      <c r="V2" s="238">
        <v>2026</v>
      </c>
      <c r="W2" s="238">
        <v>2027</v>
      </c>
      <c r="X2" s="238">
        <v>2028</v>
      </c>
      <c r="Y2" s="236" t="s">
        <v>29</v>
      </c>
      <c r="Z2" s="236" t="s">
        <v>30</v>
      </c>
      <c r="AA2" s="236" t="s">
        <v>31</v>
      </c>
      <c r="AB2" s="239" t="s">
        <v>32</v>
      </c>
    </row>
    <row r="3" spans="1:28" s="123" customFormat="1" ht="45.75" thickTop="1">
      <c r="A3" s="266">
        <v>1</v>
      </c>
      <c r="B3" s="169" t="s">
        <v>281</v>
      </c>
      <c r="C3" s="228" t="s">
        <v>101</v>
      </c>
      <c r="D3" s="243" t="s">
        <v>295</v>
      </c>
      <c r="E3" s="229">
        <v>2408021</v>
      </c>
      <c r="F3" s="122" t="s">
        <v>296</v>
      </c>
      <c r="G3" s="114" t="s">
        <v>297</v>
      </c>
      <c r="H3" s="208" t="s">
        <v>124</v>
      </c>
      <c r="I3" s="169">
        <v>0.442</v>
      </c>
      <c r="J3" s="114" t="s">
        <v>298</v>
      </c>
      <c r="K3" s="268">
        <v>5423429</v>
      </c>
      <c r="L3" s="268">
        <v>2711714.5</v>
      </c>
      <c r="M3" s="268">
        <v>2711714.5</v>
      </c>
      <c r="N3" s="209">
        <v>0.5</v>
      </c>
      <c r="O3" s="262">
        <v>200000</v>
      </c>
      <c r="P3" s="262">
        <v>592173</v>
      </c>
      <c r="Q3" s="262">
        <v>1919541.5</v>
      </c>
      <c r="R3" s="262"/>
      <c r="S3" s="262"/>
      <c r="T3" s="262"/>
      <c r="U3" s="262"/>
      <c r="V3" s="262"/>
      <c r="W3" s="262"/>
      <c r="X3" s="262"/>
      <c r="Y3" s="115" t="b">
        <f t="shared" ref="Y3:Y19" si="0">L3=SUM(O3:X3)</f>
        <v>1</v>
      </c>
      <c r="Z3" s="117">
        <f t="shared" ref="Z3:Z19" si="1">ROUND(L3/K3,4)</f>
        <v>0.5</v>
      </c>
      <c r="AA3" s="118" t="b">
        <f t="shared" ref="AA3:AA19" si="2">Z3=N3</f>
        <v>1</v>
      </c>
      <c r="AB3" s="118" t="b">
        <f t="shared" ref="AB3:AB19" si="3">K3=L3+M3</f>
        <v>1</v>
      </c>
    </row>
    <row r="4" spans="1:28" ht="45">
      <c r="A4" s="213">
        <v>2</v>
      </c>
      <c r="B4" s="170" t="s">
        <v>282</v>
      </c>
      <c r="C4" s="198" t="s">
        <v>101</v>
      </c>
      <c r="D4" s="244" t="s">
        <v>171</v>
      </c>
      <c r="E4" s="230">
        <v>2406042</v>
      </c>
      <c r="F4" s="124" t="s">
        <v>299</v>
      </c>
      <c r="G4" s="113" t="s">
        <v>300</v>
      </c>
      <c r="H4" s="210" t="s">
        <v>122</v>
      </c>
      <c r="I4" s="170">
        <v>5.335</v>
      </c>
      <c r="J4" s="113" t="s">
        <v>301</v>
      </c>
      <c r="K4" s="267">
        <v>9964511</v>
      </c>
      <c r="L4" s="267">
        <v>6975157.6999999993</v>
      </c>
      <c r="M4" s="267">
        <v>2989353.3000000007</v>
      </c>
      <c r="N4" s="200">
        <v>0.7</v>
      </c>
      <c r="O4" s="211">
        <v>173907.3</v>
      </c>
      <c r="P4" s="211">
        <v>2001731.9</v>
      </c>
      <c r="Q4" s="211">
        <v>2579091.9</v>
      </c>
      <c r="R4" s="211">
        <v>2220426.5999999996</v>
      </c>
      <c r="S4" s="211"/>
      <c r="T4" s="211"/>
      <c r="U4" s="211"/>
      <c r="V4" s="211"/>
      <c r="W4" s="211"/>
      <c r="X4" s="211"/>
      <c r="Y4" s="115" t="b">
        <f t="shared" si="0"/>
        <v>1</v>
      </c>
      <c r="Z4" s="117">
        <f t="shared" si="1"/>
        <v>0.7</v>
      </c>
      <c r="AA4" s="118" t="b">
        <f t="shared" si="2"/>
        <v>1</v>
      </c>
      <c r="AB4" s="118" t="b">
        <f t="shared" si="3"/>
        <v>1</v>
      </c>
    </row>
    <row r="5" spans="1:28" ht="45">
      <c r="A5" s="213">
        <v>3</v>
      </c>
      <c r="B5" s="170" t="s">
        <v>283</v>
      </c>
      <c r="C5" s="198" t="s">
        <v>101</v>
      </c>
      <c r="D5" s="244" t="s">
        <v>302</v>
      </c>
      <c r="E5" s="230">
        <v>2415031</v>
      </c>
      <c r="F5" s="124" t="s">
        <v>303</v>
      </c>
      <c r="G5" s="113" t="s">
        <v>304</v>
      </c>
      <c r="H5" s="231" t="s">
        <v>126</v>
      </c>
      <c r="I5" s="170">
        <v>1.159</v>
      </c>
      <c r="J5" s="113" t="s">
        <v>305</v>
      </c>
      <c r="K5" s="267">
        <v>5603138</v>
      </c>
      <c r="L5" s="267">
        <v>3081725.9000000004</v>
      </c>
      <c r="M5" s="267">
        <v>2521412.0999999996</v>
      </c>
      <c r="N5" s="200">
        <v>0.55000000000000004</v>
      </c>
      <c r="O5" s="211">
        <v>397597.2</v>
      </c>
      <c r="P5" s="211">
        <v>1342064.3500000001</v>
      </c>
      <c r="Q5" s="211">
        <v>1342064.3500000001</v>
      </c>
      <c r="R5" s="211"/>
      <c r="S5" s="211"/>
      <c r="T5" s="211"/>
      <c r="U5" s="211"/>
      <c r="V5" s="211"/>
      <c r="W5" s="211"/>
      <c r="X5" s="211"/>
      <c r="Y5" s="115" t="b">
        <f t="shared" si="0"/>
        <v>1</v>
      </c>
      <c r="Z5" s="117">
        <f t="shared" si="1"/>
        <v>0.55000000000000004</v>
      </c>
      <c r="AA5" s="118" t="b">
        <f t="shared" si="2"/>
        <v>1</v>
      </c>
      <c r="AB5" s="118" t="b">
        <f t="shared" si="3"/>
        <v>1</v>
      </c>
    </row>
    <row r="6" spans="1:28" ht="45">
      <c r="A6" s="213">
        <v>4</v>
      </c>
      <c r="B6" s="170" t="s">
        <v>284</v>
      </c>
      <c r="C6" s="198" t="s">
        <v>101</v>
      </c>
      <c r="D6" s="244" t="s">
        <v>306</v>
      </c>
      <c r="E6" s="230">
        <v>2415052</v>
      </c>
      <c r="F6" s="124" t="s">
        <v>303</v>
      </c>
      <c r="G6" s="113" t="s">
        <v>307</v>
      </c>
      <c r="H6" s="210" t="s">
        <v>124</v>
      </c>
      <c r="I6" s="170">
        <v>1.758</v>
      </c>
      <c r="J6" s="113" t="s">
        <v>308</v>
      </c>
      <c r="K6" s="267">
        <v>5745399</v>
      </c>
      <c r="L6" s="267">
        <v>4021779.3</v>
      </c>
      <c r="M6" s="267">
        <v>1723619.7000000002</v>
      </c>
      <c r="N6" s="200">
        <v>0.7</v>
      </c>
      <c r="O6" s="211">
        <v>14000</v>
      </c>
      <c r="P6" s="211">
        <v>686000</v>
      </c>
      <c r="Q6" s="211">
        <v>3321779.3</v>
      </c>
      <c r="R6" s="211"/>
      <c r="S6" s="211"/>
      <c r="T6" s="211"/>
      <c r="U6" s="211"/>
      <c r="V6" s="211"/>
      <c r="W6" s="211"/>
      <c r="X6" s="211"/>
      <c r="Y6" s="115" t="b">
        <f t="shared" si="0"/>
        <v>1</v>
      </c>
      <c r="Z6" s="117">
        <f t="shared" si="1"/>
        <v>0.7</v>
      </c>
      <c r="AA6" s="118" t="b">
        <f t="shared" si="2"/>
        <v>1</v>
      </c>
      <c r="AB6" s="118" t="b">
        <f t="shared" si="3"/>
        <v>1</v>
      </c>
    </row>
    <row r="7" spans="1:28" ht="45">
      <c r="A7" s="213">
        <v>5</v>
      </c>
      <c r="B7" s="170" t="s">
        <v>285</v>
      </c>
      <c r="C7" s="198" t="s">
        <v>101</v>
      </c>
      <c r="D7" s="244" t="s">
        <v>309</v>
      </c>
      <c r="E7" s="230">
        <v>2402082</v>
      </c>
      <c r="F7" s="124" t="s">
        <v>310</v>
      </c>
      <c r="G7" s="113" t="s">
        <v>311</v>
      </c>
      <c r="H7" s="210" t="s">
        <v>124</v>
      </c>
      <c r="I7" s="170">
        <v>0.42199999999999999</v>
      </c>
      <c r="J7" s="113" t="s">
        <v>312</v>
      </c>
      <c r="K7" s="267">
        <v>2268350</v>
      </c>
      <c r="L7" s="267">
        <v>1134175</v>
      </c>
      <c r="M7" s="267">
        <v>1134175</v>
      </c>
      <c r="N7" s="200">
        <v>0.5</v>
      </c>
      <c r="O7" s="211">
        <v>28057.5</v>
      </c>
      <c r="P7" s="211">
        <v>50000</v>
      </c>
      <c r="Q7" s="211">
        <v>541038.5</v>
      </c>
      <c r="R7" s="211">
        <v>515079</v>
      </c>
      <c r="S7" s="211"/>
      <c r="T7" s="211"/>
      <c r="U7" s="211"/>
      <c r="V7" s="211"/>
      <c r="W7" s="211"/>
      <c r="X7" s="211"/>
      <c r="Y7" s="115" t="b">
        <f t="shared" si="0"/>
        <v>1</v>
      </c>
      <c r="Z7" s="117">
        <f t="shared" si="1"/>
        <v>0.5</v>
      </c>
      <c r="AA7" s="118" t="b">
        <f t="shared" si="2"/>
        <v>1</v>
      </c>
      <c r="AB7" s="118" t="b">
        <f t="shared" si="3"/>
        <v>1</v>
      </c>
    </row>
    <row r="8" spans="1:28" ht="60">
      <c r="A8" s="213">
        <v>6</v>
      </c>
      <c r="B8" s="170" t="s">
        <v>286</v>
      </c>
      <c r="C8" s="198" t="s">
        <v>101</v>
      </c>
      <c r="D8" s="244" t="s">
        <v>139</v>
      </c>
      <c r="E8" s="230">
        <v>2416021</v>
      </c>
      <c r="F8" s="124" t="s">
        <v>313</v>
      </c>
      <c r="G8" s="113" t="s">
        <v>314</v>
      </c>
      <c r="H8" s="210" t="s">
        <v>124</v>
      </c>
      <c r="I8" s="170">
        <v>1.091</v>
      </c>
      <c r="J8" s="113" t="s">
        <v>123</v>
      </c>
      <c r="K8" s="267">
        <v>3394330</v>
      </c>
      <c r="L8" s="267">
        <v>1697165</v>
      </c>
      <c r="M8" s="267">
        <v>1697165</v>
      </c>
      <c r="N8" s="200">
        <v>0.5</v>
      </c>
      <c r="O8" s="211">
        <v>195000</v>
      </c>
      <c r="P8" s="211">
        <v>1502165</v>
      </c>
      <c r="Q8" s="211"/>
      <c r="R8" s="211"/>
      <c r="S8" s="211"/>
      <c r="T8" s="211"/>
      <c r="U8" s="211"/>
      <c r="V8" s="211"/>
      <c r="W8" s="211"/>
      <c r="X8" s="211"/>
      <c r="Y8" s="115" t="b">
        <f t="shared" si="0"/>
        <v>1</v>
      </c>
      <c r="Z8" s="117">
        <f t="shared" si="1"/>
        <v>0.5</v>
      </c>
      <c r="AA8" s="118" t="b">
        <f t="shared" si="2"/>
        <v>1</v>
      </c>
      <c r="AB8" s="118" t="b">
        <f t="shared" si="3"/>
        <v>1</v>
      </c>
    </row>
    <row r="9" spans="1:28" ht="60">
      <c r="A9" s="213">
        <v>7</v>
      </c>
      <c r="B9" s="170" t="s">
        <v>287</v>
      </c>
      <c r="C9" s="198" t="s">
        <v>101</v>
      </c>
      <c r="D9" s="244" t="s">
        <v>163</v>
      </c>
      <c r="E9" s="230">
        <v>2411011</v>
      </c>
      <c r="F9" s="124" t="s">
        <v>315</v>
      </c>
      <c r="G9" s="113" t="s">
        <v>316</v>
      </c>
      <c r="H9" s="231" t="s">
        <v>126</v>
      </c>
      <c r="I9" s="170">
        <v>1.3169999999999999</v>
      </c>
      <c r="J9" s="113" t="s">
        <v>317</v>
      </c>
      <c r="K9" s="267">
        <f>L9+M9</f>
        <v>3400729.68</v>
      </c>
      <c r="L9" s="267">
        <v>1700364.84</v>
      </c>
      <c r="M9" s="267">
        <v>1700364.84</v>
      </c>
      <c r="N9" s="200">
        <v>0.5</v>
      </c>
      <c r="O9" s="211">
        <v>150000</v>
      </c>
      <c r="P9" s="211">
        <v>1124143.3400000001</v>
      </c>
      <c r="Q9" s="211">
        <v>426221.5</v>
      </c>
      <c r="R9" s="211"/>
      <c r="S9" s="211"/>
      <c r="T9" s="211"/>
      <c r="U9" s="211"/>
      <c r="V9" s="211"/>
      <c r="W9" s="211"/>
      <c r="X9" s="211"/>
      <c r="Y9" s="115" t="b">
        <f t="shared" si="0"/>
        <v>1</v>
      </c>
      <c r="Z9" s="117">
        <f t="shared" si="1"/>
        <v>0.5</v>
      </c>
      <c r="AA9" s="118" t="b">
        <f t="shared" si="2"/>
        <v>1</v>
      </c>
      <c r="AB9" s="118" t="b">
        <f t="shared" si="3"/>
        <v>1</v>
      </c>
    </row>
    <row r="10" spans="1:28" ht="30">
      <c r="A10" s="213">
        <v>8</v>
      </c>
      <c r="B10" s="170" t="s">
        <v>288</v>
      </c>
      <c r="C10" s="198" t="s">
        <v>101</v>
      </c>
      <c r="D10" s="244" t="s">
        <v>309</v>
      </c>
      <c r="E10" s="230">
        <v>2402082</v>
      </c>
      <c r="F10" s="124" t="s">
        <v>310</v>
      </c>
      <c r="G10" s="113" t="s">
        <v>318</v>
      </c>
      <c r="H10" s="210" t="s">
        <v>124</v>
      </c>
      <c r="I10" s="170">
        <v>0.94599999999999995</v>
      </c>
      <c r="J10" s="113" t="s">
        <v>308</v>
      </c>
      <c r="K10" s="267">
        <v>1175687</v>
      </c>
      <c r="L10" s="267">
        <v>587843.5</v>
      </c>
      <c r="M10" s="267">
        <v>587843.5</v>
      </c>
      <c r="N10" s="200">
        <v>0.5</v>
      </c>
      <c r="O10" s="211">
        <v>25000</v>
      </c>
      <c r="P10" s="211">
        <v>268922</v>
      </c>
      <c r="Q10" s="211">
        <v>293921.5</v>
      </c>
      <c r="R10" s="211"/>
      <c r="S10" s="211"/>
      <c r="T10" s="211"/>
      <c r="U10" s="211"/>
      <c r="V10" s="211"/>
      <c r="W10" s="211"/>
      <c r="X10" s="211"/>
      <c r="Y10" s="115" t="b">
        <f t="shared" si="0"/>
        <v>1</v>
      </c>
      <c r="Z10" s="117">
        <f t="shared" si="1"/>
        <v>0.5</v>
      </c>
      <c r="AA10" s="118" t="b">
        <f t="shared" si="2"/>
        <v>1</v>
      </c>
      <c r="AB10" s="118" t="b">
        <f t="shared" si="3"/>
        <v>1</v>
      </c>
    </row>
    <row r="11" spans="1:28" ht="45">
      <c r="A11" s="213">
        <v>9</v>
      </c>
      <c r="B11" s="170" t="s">
        <v>289</v>
      </c>
      <c r="C11" s="198" t="s">
        <v>101</v>
      </c>
      <c r="D11" s="244" t="s">
        <v>104</v>
      </c>
      <c r="E11" s="230">
        <v>2464011</v>
      </c>
      <c r="F11" s="124" t="s">
        <v>319</v>
      </c>
      <c r="G11" s="113" t="s">
        <v>320</v>
      </c>
      <c r="H11" s="210" t="s">
        <v>122</v>
      </c>
      <c r="I11" s="170">
        <v>1.1060000000000001</v>
      </c>
      <c r="J11" s="113" t="s">
        <v>321</v>
      </c>
      <c r="K11" s="267">
        <f>L11+M11</f>
        <v>4367854.75</v>
      </c>
      <c r="L11" s="267">
        <v>2183927</v>
      </c>
      <c r="M11" s="267">
        <v>2183927.75</v>
      </c>
      <c r="N11" s="200">
        <v>0.5</v>
      </c>
      <c r="O11" s="211">
        <v>1675000</v>
      </c>
      <c r="P11" s="211">
        <v>508927</v>
      </c>
      <c r="Q11" s="211"/>
      <c r="R11" s="211"/>
      <c r="S11" s="211"/>
      <c r="T11" s="211"/>
      <c r="U11" s="211"/>
      <c r="V11" s="211"/>
      <c r="W11" s="211"/>
      <c r="X11" s="211"/>
      <c r="Y11" s="115" t="b">
        <f t="shared" si="0"/>
        <v>1</v>
      </c>
      <c r="Z11" s="117">
        <f t="shared" si="1"/>
        <v>0.5</v>
      </c>
      <c r="AA11" s="118" t="b">
        <f t="shared" si="2"/>
        <v>1</v>
      </c>
      <c r="AB11" s="118" t="b">
        <f t="shared" si="3"/>
        <v>1</v>
      </c>
    </row>
    <row r="12" spans="1:28" ht="45">
      <c r="A12" s="213">
        <v>10</v>
      </c>
      <c r="B12" s="170" t="s">
        <v>290</v>
      </c>
      <c r="C12" s="198" t="s">
        <v>101</v>
      </c>
      <c r="D12" s="244" t="s">
        <v>139</v>
      </c>
      <c r="E12" s="230">
        <v>2416021</v>
      </c>
      <c r="F12" s="113" t="s">
        <v>313</v>
      </c>
      <c r="G12" s="113" t="s">
        <v>322</v>
      </c>
      <c r="H12" s="210" t="s">
        <v>124</v>
      </c>
      <c r="I12" s="170">
        <v>0.51800000000000002</v>
      </c>
      <c r="J12" s="113" t="s">
        <v>123</v>
      </c>
      <c r="K12" s="267">
        <v>793282</v>
      </c>
      <c r="L12" s="267">
        <v>396641</v>
      </c>
      <c r="M12" s="267">
        <v>396641</v>
      </c>
      <c r="N12" s="200">
        <v>0.5</v>
      </c>
      <c r="O12" s="211">
        <v>83565</v>
      </c>
      <c r="P12" s="211">
        <v>313076</v>
      </c>
      <c r="Q12" s="211"/>
      <c r="R12" s="211"/>
      <c r="S12" s="211"/>
      <c r="T12" s="211"/>
      <c r="U12" s="211"/>
      <c r="V12" s="211"/>
      <c r="W12" s="211"/>
      <c r="X12" s="211"/>
      <c r="Y12" s="115" t="b">
        <f t="shared" si="0"/>
        <v>1</v>
      </c>
      <c r="Z12" s="117">
        <f t="shared" si="1"/>
        <v>0.5</v>
      </c>
      <c r="AA12" s="118" t="b">
        <f t="shared" si="2"/>
        <v>1</v>
      </c>
      <c r="AB12" s="118" t="b">
        <f t="shared" si="3"/>
        <v>1</v>
      </c>
    </row>
    <row r="13" spans="1:28" ht="45">
      <c r="A13" s="213">
        <v>11</v>
      </c>
      <c r="B13" s="170" t="s">
        <v>291</v>
      </c>
      <c r="C13" s="198" t="s">
        <v>101</v>
      </c>
      <c r="D13" s="244" t="s">
        <v>323</v>
      </c>
      <c r="E13" s="230">
        <v>2409011</v>
      </c>
      <c r="F13" s="124" t="s">
        <v>324</v>
      </c>
      <c r="G13" s="113" t="s">
        <v>325</v>
      </c>
      <c r="H13" s="210" t="s">
        <v>122</v>
      </c>
      <c r="I13" s="170">
        <v>1.0980000000000001</v>
      </c>
      <c r="J13" s="113" t="s">
        <v>326</v>
      </c>
      <c r="K13" s="267">
        <v>4393871.72</v>
      </c>
      <c r="L13" s="267">
        <v>2636323.0299999998</v>
      </c>
      <c r="M13" s="267">
        <v>1757548.69</v>
      </c>
      <c r="N13" s="200">
        <v>0.59999999954482053</v>
      </c>
      <c r="O13" s="211">
        <v>1993488.5999999999</v>
      </c>
      <c r="P13" s="211">
        <v>642834.43000000005</v>
      </c>
      <c r="Q13" s="211"/>
      <c r="R13" s="211"/>
      <c r="S13" s="211"/>
      <c r="T13" s="211"/>
      <c r="U13" s="211"/>
      <c r="V13" s="211"/>
      <c r="W13" s="211"/>
      <c r="X13" s="211"/>
      <c r="Y13" s="115" t="b">
        <f t="shared" si="0"/>
        <v>1</v>
      </c>
      <c r="Z13" s="117">
        <f t="shared" si="1"/>
        <v>0.6</v>
      </c>
      <c r="AA13" s="118" t="b">
        <f t="shared" si="2"/>
        <v>0</v>
      </c>
      <c r="AB13" s="118" t="b">
        <f t="shared" si="3"/>
        <v>1</v>
      </c>
    </row>
    <row r="14" spans="1:28" ht="30">
      <c r="A14" s="213">
        <v>12</v>
      </c>
      <c r="B14" s="170" t="s">
        <v>292</v>
      </c>
      <c r="C14" s="198" t="s">
        <v>101</v>
      </c>
      <c r="D14" s="244" t="s">
        <v>155</v>
      </c>
      <c r="E14" s="230">
        <v>2415062</v>
      </c>
      <c r="F14" s="113" t="s">
        <v>303</v>
      </c>
      <c r="G14" s="113" t="s">
        <v>327</v>
      </c>
      <c r="H14" s="210" t="s">
        <v>124</v>
      </c>
      <c r="I14" s="170">
        <v>0.223</v>
      </c>
      <c r="J14" s="113" t="s">
        <v>328</v>
      </c>
      <c r="K14" s="267">
        <v>800124</v>
      </c>
      <c r="L14" s="267">
        <v>440068.2</v>
      </c>
      <c r="M14" s="267">
        <v>360055.8</v>
      </c>
      <c r="N14" s="200">
        <v>0.55000000000000004</v>
      </c>
      <c r="O14" s="211">
        <v>88000</v>
      </c>
      <c r="P14" s="211">
        <v>352068.2</v>
      </c>
      <c r="Q14" s="211"/>
      <c r="R14" s="211"/>
      <c r="S14" s="211"/>
      <c r="T14" s="211"/>
      <c r="U14" s="211"/>
      <c r="V14" s="211"/>
      <c r="W14" s="211"/>
      <c r="X14" s="211"/>
      <c r="Y14" s="115" t="b">
        <f t="shared" si="0"/>
        <v>1</v>
      </c>
      <c r="Z14" s="117">
        <f t="shared" si="1"/>
        <v>0.55000000000000004</v>
      </c>
      <c r="AA14" s="118" t="b">
        <f t="shared" si="2"/>
        <v>1</v>
      </c>
      <c r="AB14" s="118" t="b">
        <f t="shared" si="3"/>
        <v>1</v>
      </c>
    </row>
    <row r="15" spans="1:28" ht="45">
      <c r="A15" s="213">
        <v>13</v>
      </c>
      <c r="B15" s="170" t="s">
        <v>293</v>
      </c>
      <c r="C15" s="198" t="s">
        <v>101</v>
      </c>
      <c r="D15" s="244" t="s">
        <v>329</v>
      </c>
      <c r="E15" s="230">
        <v>2412042</v>
      </c>
      <c r="F15" s="124" t="s">
        <v>330</v>
      </c>
      <c r="G15" s="113" t="s">
        <v>331</v>
      </c>
      <c r="H15" s="210" t="s">
        <v>124</v>
      </c>
      <c r="I15" s="170">
        <v>0.82</v>
      </c>
      <c r="J15" s="113" t="s">
        <v>332</v>
      </c>
      <c r="K15" s="267">
        <v>2327823</v>
      </c>
      <c r="L15" s="267">
        <v>1280302.6500000001</v>
      </c>
      <c r="M15" s="267">
        <v>1047520.3499999999</v>
      </c>
      <c r="N15" s="200">
        <v>0.55000000000000004</v>
      </c>
      <c r="O15" s="211">
        <v>11000</v>
      </c>
      <c r="P15" s="211">
        <v>550000</v>
      </c>
      <c r="Q15" s="211">
        <v>719302.65</v>
      </c>
      <c r="R15" s="211"/>
      <c r="S15" s="211"/>
      <c r="T15" s="211"/>
      <c r="U15" s="211"/>
      <c r="V15" s="211"/>
      <c r="W15" s="211"/>
      <c r="X15" s="211"/>
      <c r="Y15" s="115" t="b">
        <f t="shared" si="0"/>
        <v>1</v>
      </c>
      <c r="Z15" s="117">
        <f t="shared" si="1"/>
        <v>0.55000000000000004</v>
      </c>
      <c r="AA15" s="118" t="b">
        <f t="shared" si="2"/>
        <v>1</v>
      </c>
      <c r="AB15" s="118" t="b">
        <f t="shared" si="3"/>
        <v>1</v>
      </c>
    </row>
    <row r="16" spans="1:28" ht="30">
      <c r="A16" s="213">
        <v>14</v>
      </c>
      <c r="B16" s="170" t="s">
        <v>294</v>
      </c>
      <c r="C16" s="198" t="s">
        <v>101</v>
      </c>
      <c r="D16" s="244" t="s">
        <v>333</v>
      </c>
      <c r="E16" s="230">
        <v>2413021</v>
      </c>
      <c r="F16" s="124" t="s">
        <v>334</v>
      </c>
      <c r="G16" s="113" t="s">
        <v>335</v>
      </c>
      <c r="H16" s="210" t="s">
        <v>122</v>
      </c>
      <c r="I16" s="170">
        <v>0.627</v>
      </c>
      <c r="J16" s="113" t="s">
        <v>298</v>
      </c>
      <c r="K16" s="267">
        <v>2086556</v>
      </c>
      <c r="L16" s="267">
        <v>1043278</v>
      </c>
      <c r="M16" s="267">
        <v>1043278</v>
      </c>
      <c r="N16" s="200">
        <v>0.5</v>
      </c>
      <c r="O16" s="211">
        <v>1500</v>
      </c>
      <c r="P16" s="211">
        <v>294450</v>
      </c>
      <c r="Q16" s="211">
        <v>747328</v>
      </c>
      <c r="R16" s="211"/>
      <c r="S16" s="211"/>
      <c r="T16" s="211"/>
      <c r="U16" s="211"/>
      <c r="V16" s="211"/>
      <c r="W16" s="211"/>
      <c r="X16" s="211"/>
      <c r="Y16" s="115" t="b">
        <f t="shared" si="0"/>
        <v>1</v>
      </c>
      <c r="Z16" s="117">
        <f t="shared" si="1"/>
        <v>0.5</v>
      </c>
      <c r="AA16" s="118" t="b">
        <f t="shared" si="2"/>
        <v>1</v>
      </c>
      <c r="AB16" s="118" t="b">
        <f t="shared" si="3"/>
        <v>1</v>
      </c>
    </row>
    <row r="17" spans="1:28" ht="30">
      <c r="A17" s="213">
        <v>15</v>
      </c>
      <c r="B17" s="170" t="s">
        <v>278</v>
      </c>
      <c r="C17" s="198" t="s">
        <v>101</v>
      </c>
      <c r="D17" s="244" t="s">
        <v>336</v>
      </c>
      <c r="E17" s="230">
        <v>2401073</v>
      </c>
      <c r="F17" s="124" t="s">
        <v>337</v>
      </c>
      <c r="G17" s="113" t="s">
        <v>338</v>
      </c>
      <c r="H17" s="231" t="s">
        <v>122</v>
      </c>
      <c r="I17" s="170">
        <v>0.17899999999999999</v>
      </c>
      <c r="J17" s="113" t="s">
        <v>129</v>
      </c>
      <c r="K17" s="267">
        <v>787942</v>
      </c>
      <c r="L17" s="267">
        <v>393971</v>
      </c>
      <c r="M17" s="267">
        <v>393971</v>
      </c>
      <c r="N17" s="200">
        <v>0.5</v>
      </c>
      <c r="O17" s="211">
        <v>25000</v>
      </c>
      <c r="P17" s="211">
        <v>368971</v>
      </c>
      <c r="Q17" s="211"/>
      <c r="R17" s="211"/>
      <c r="S17" s="211"/>
      <c r="T17" s="211"/>
      <c r="U17" s="211"/>
      <c r="V17" s="211"/>
      <c r="W17" s="211"/>
      <c r="X17" s="211"/>
      <c r="Y17" s="115" t="b">
        <f t="shared" si="0"/>
        <v>1</v>
      </c>
      <c r="Z17" s="117">
        <f t="shared" si="1"/>
        <v>0.5</v>
      </c>
      <c r="AA17" s="118" t="b">
        <f t="shared" si="2"/>
        <v>1</v>
      </c>
      <c r="AB17" s="118" t="b">
        <f t="shared" si="3"/>
        <v>1</v>
      </c>
    </row>
    <row r="18" spans="1:28" ht="45">
      <c r="A18" s="213">
        <v>16</v>
      </c>
      <c r="B18" s="170" t="s">
        <v>279</v>
      </c>
      <c r="C18" s="198" t="s">
        <v>101</v>
      </c>
      <c r="D18" s="244" t="s">
        <v>339</v>
      </c>
      <c r="E18" s="220">
        <v>2466011</v>
      </c>
      <c r="F18" s="124" t="s">
        <v>340</v>
      </c>
      <c r="G18" s="113" t="s">
        <v>341</v>
      </c>
      <c r="H18" s="210" t="s">
        <v>122</v>
      </c>
      <c r="I18" s="170">
        <v>0.46</v>
      </c>
      <c r="J18" s="113" t="s">
        <v>342</v>
      </c>
      <c r="K18" s="267">
        <v>4631900</v>
      </c>
      <c r="L18" s="267">
        <v>2315950</v>
      </c>
      <c r="M18" s="267">
        <v>2315950</v>
      </c>
      <c r="N18" s="200">
        <v>0.5</v>
      </c>
      <c r="O18" s="211">
        <v>500000</v>
      </c>
      <c r="P18" s="211">
        <v>1815950</v>
      </c>
      <c r="Q18" s="211"/>
      <c r="R18" s="211"/>
      <c r="S18" s="211"/>
      <c r="T18" s="211"/>
      <c r="U18" s="211"/>
      <c r="V18" s="211"/>
      <c r="W18" s="211"/>
      <c r="X18" s="211"/>
      <c r="Y18" s="115" t="b">
        <f t="shared" si="0"/>
        <v>1</v>
      </c>
      <c r="Z18" s="117">
        <f t="shared" si="1"/>
        <v>0.5</v>
      </c>
      <c r="AA18" s="118" t="b">
        <f t="shared" si="2"/>
        <v>1</v>
      </c>
      <c r="AB18" s="118" t="b">
        <f t="shared" si="3"/>
        <v>1</v>
      </c>
    </row>
    <row r="19" spans="1:28" ht="30">
      <c r="A19" s="213">
        <v>17</v>
      </c>
      <c r="B19" s="170" t="s">
        <v>280</v>
      </c>
      <c r="C19" s="198" t="s">
        <v>101</v>
      </c>
      <c r="D19" s="244" t="s">
        <v>343</v>
      </c>
      <c r="E19" s="230">
        <v>2402043</v>
      </c>
      <c r="F19" s="124" t="s">
        <v>310</v>
      </c>
      <c r="G19" s="113" t="s">
        <v>344</v>
      </c>
      <c r="H19" s="210" t="s">
        <v>124</v>
      </c>
      <c r="I19" s="170">
        <v>0.54</v>
      </c>
      <c r="J19" s="232" t="s">
        <v>345</v>
      </c>
      <c r="K19" s="269">
        <v>3159755</v>
      </c>
      <c r="L19" s="267">
        <v>2527804</v>
      </c>
      <c r="M19" s="269">
        <v>631951</v>
      </c>
      <c r="N19" s="200">
        <v>0.8</v>
      </c>
      <c r="O19" s="211">
        <v>531497.6</v>
      </c>
      <c r="P19" s="211">
        <v>1996306.4000000001</v>
      </c>
      <c r="Q19" s="263"/>
      <c r="R19" s="211"/>
      <c r="S19" s="211"/>
      <c r="T19" s="211"/>
      <c r="U19" s="211"/>
      <c r="V19" s="211"/>
      <c r="W19" s="211"/>
      <c r="X19" s="211"/>
      <c r="Y19" s="115" t="b">
        <f t="shared" si="0"/>
        <v>1</v>
      </c>
      <c r="Z19" s="117">
        <f t="shared" si="1"/>
        <v>0.8</v>
      </c>
      <c r="AA19" s="118" t="b">
        <f t="shared" si="2"/>
        <v>1</v>
      </c>
      <c r="AB19" s="118" t="b">
        <f t="shared" si="3"/>
        <v>1</v>
      </c>
    </row>
    <row r="20" spans="1:28" ht="30.4" customHeight="1">
      <c r="A20" s="215">
        <v>18</v>
      </c>
      <c r="B20" s="165" t="s">
        <v>180</v>
      </c>
      <c r="C20" s="204" t="s">
        <v>68</v>
      </c>
      <c r="D20" s="241" t="s">
        <v>139</v>
      </c>
      <c r="E20" s="216">
        <v>2416021</v>
      </c>
      <c r="F20" s="217" t="s">
        <v>313</v>
      </c>
      <c r="G20" s="160" t="s">
        <v>229</v>
      </c>
      <c r="H20" s="203" t="s">
        <v>122</v>
      </c>
      <c r="I20" s="205">
        <v>0.16400000000000001</v>
      </c>
      <c r="J20" s="246" t="s">
        <v>420</v>
      </c>
      <c r="K20" s="260">
        <v>3870450</v>
      </c>
      <c r="L20" s="206">
        <f>ROUND(K20*N20,2)</f>
        <v>1935225</v>
      </c>
      <c r="M20" s="207">
        <f>K20-L20</f>
        <v>1935225</v>
      </c>
      <c r="N20" s="218">
        <v>0.5</v>
      </c>
      <c r="O20" s="206">
        <v>0</v>
      </c>
      <c r="P20" s="206">
        <v>1935225</v>
      </c>
      <c r="Q20" s="260"/>
      <c r="R20" s="260"/>
      <c r="S20" s="260"/>
      <c r="T20" s="260"/>
      <c r="U20" s="260"/>
      <c r="V20" s="260"/>
      <c r="W20" s="260"/>
      <c r="X20" s="260"/>
      <c r="Y20" s="115" t="b">
        <f t="shared" ref="Y20" si="4">L20=SUM(O20:X20)</f>
        <v>1</v>
      </c>
      <c r="Z20" s="117">
        <f t="shared" ref="Z20" si="5">ROUND(L20/K20,4)</f>
        <v>0.5</v>
      </c>
      <c r="AA20" s="118" t="b">
        <f t="shared" ref="AA20" si="6">Z20=N20</f>
        <v>1</v>
      </c>
      <c r="AB20" s="118" t="b">
        <f t="shared" ref="AB20" si="7">K20=L20+M20</f>
        <v>1</v>
      </c>
    </row>
    <row r="21" spans="1:28" ht="30">
      <c r="A21" s="215">
        <v>19</v>
      </c>
      <c r="B21" s="165" t="s">
        <v>181</v>
      </c>
      <c r="C21" s="204" t="s">
        <v>68</v>
      </c>
      <c r="D21" s="241" t="s">
        <v>140</v>
      </c>
      <c r="E21" s="219">
        <v>2474011</v>
      </c>
      <c r="F21" s="217" t="s">
        <v>425</v>
      </c>
      <c r="G21" s="160" t="s">
        <v>230</v>
      </c>
      <c r="H21" s="203" t="s">
        <v>122</v>
      </c>
      <c r="I21" s="205">
        <v>0.40400000000000003</v>
      </c>
      <c r="J21" s="246" t="s">
        <v>444</v>
      </c>
      <c r="K21" s="260">
        <v>3800895</v>
      </c>
      <c r="L21" s="206">
        <v>2850671</v>
      </c>
      <c r="M21" s="207">
        <v>950224</v>
      </c>
      <c r="N21" s="218">
        <v>0.75</v>
      </c>
      <c r="O21" s="206"/>
      <c r="P21" s="206">
        <v>2850671</v>
      </c>
      <c r="Q21" s="260"/>
      <c r="R21" s="260"/>
      <c r="S21" s="260"/>
      <c r="T21" s="260"/>
      <c r="U21" s="260"/>
      <c r="V21" s="260"/>
      <c r="W21" s="260"/>
      <c r="X21" s="260"/>
      <c r="Y21" s="115" t="b">
        <f t="shared" ref="Y21:Y71" si="8">L21=SUM(O21:X21)</f>
        <v>1</v>
      </c>
      <c r="Z21" s="117">
        <f t="shared" ref="Z21:Z71" si="9">ROUND(L21/K21,4)</f>
        <v>0.75</v>
      </c>
      <c r="AA21" s="118" t="b">
        <f t="shared" ref="AA21:AA71" si="10">Z21=N21</f>
        <v>1</v>
      </c>
      <c r="AB21" s="118" t="b">
        <f t="shared" ref="AB21:AB71" si="11">K21=L21+M21</f>
        <v>1</v>
      </c>
    </row>
    <row r="22" spans="1:28" ht="30">
      <c r="A22" s="215">
        <v>20</v>
      </c>
      <c r="B22" s="165" t="s">
        <v>182</v>
      </c>
      <c r="C22" s="204" t="s">
        <v>68</v>
      </c>
      <c r="D22" s="241" t="s">
        <v>141</v>
      </c>
      <c r="E22" s="216">
        <v>2417152</v>
      </c>
      <c r="F22" s="217" t="s">
        <v>426</v>
      </c>
      <c r="G22" s="160" t="s">
        <v>231</v>
      </c>
      <c r="H22" s="203" t="s">
        <v>124</v>
      </c>
      <c r="I22" s="205">
        <v>1.2889999999999999</v>
      </c>
      <c r="J22" s="246" t="s">
        <v>443</v>
      </c>
      <c r="K22" s="260">
        <v>2043942</v>
      </c>
      <c r="L22" s="206">
        <f t="shared" ref="L22:L34" si="12">ROUND(K22*N22,2)</f>
        <v>1226365.2</v>
      </c>
      <c r="M22" s="207">
        <f t="shared" ref="M22:M34" si="13">K22-L22</f>
        <v>817576.8</v>
      </c>
      <c r="N22" s="218">
        <v>0.6</v>
      </c>
      <c r="O22" s="206">
        <v>0</v>
      </c>
      <c r="P22" s="206">
        <v>1226365.2</v>
      </c>
      <c r="Q22" s="260"/>
      <c r="R22" s="260"/>
      <c r="S22" s="260"/>
      <c r="T22" s="260"/>
      <c r="U22" s="260"/>
      <c r="V22" s="260"/>
      <c r="W22" s="260"/>
      <c r="X22" s="260"/>
      <c r="Y22" s="115" t="b">
        <f t="shared" si="8"/>
        <v>1</v>
      </c>
      <c r="Z22" s="117">
        <f t="shared" si="9"/>
        <v>0.6</v>
      </c>
      <c r="AA22" s="118" t="b">
        <f t="shared" si="10"/>
        <v>1</v>
      </c>
      <c r="AB22" s="118" t="b">
        <f t="shared" si="11"/>
        <v>1</v>
      </c>
    </row>
    <row r="23" spans="1:28" s="120" customFormat="1" ht="30">
      <c r="A23" s="213">
        <v>21</v>
      </c>
      <c r="B23" s="166" t="s">
        <v>183</v>
      </c>
      <c r="C23" s="198" t="s">
        <v>67</v>
      </c>
      <c r="D23" s="242" t="s">
        <v>142</v>
      </c>
      <c r="E23" s="220">
        <v>2413041</v>
      </c>
      <c r="F23" s="221" t="s">
        <v>334</v>
      </c>
      <c r="G23" s="119" t="s">
        <v>232</v>
      </c>
      <c r="H23" s="197" t="s">
        <v>122</v>
      </c>
      <c r="I23" s="199">
        <v>0.61399999999999999</v>
      </c>
      <c r="J23" s="247" t="s">
        <v>421</v>
      </c>
      <c r="K23" s="211">
        <v>7663897</v>
      </c>
      <c r="L23" s="201">
        <f t="shared" si="12"/>
        <v>3831948.5</v>
      </c>
      <c r="M23" s="202">
        <f t="shared" si="13"/>
        <v>3831948.5</v>
      </c>
      <c r="N23" s="222">
        <v>0.5</v>
      </c>
      <c r="O23" s="201">
        <v>0</v>
      </c>
      <c r="P23" s="201">
        <v>363326</v>
      </c>
      <c r="Q23" s="211">
        <v>3468622.5</v>
      </c>
      <c r="R23" s="211"/>
      <c r="S23" s="211"/>
      <c r="T23" s="211"/>
      <c r="U23" s="211"/>
      <c r="V23" s="211"/>
      <c r="W23" s="211"/>
      <c r="X23" s="211"/>
      <c r="Y23" s="115" t="b">
        <f t="shared" si="8"/>
        <v>1</v>
      </c>
      <c r="Z23" s="117">
        <f t="shared" si="9"/>
        <v>0.5</v>
      </c>
      <c r="AA23" s="118" t="b">
        <f t="shared" si="10"/>
        <v>1</v>
      </c>
      <c r="AB23" s="118" t="b">
        <f t="shared" si="11"/>
        <v>1</v>
      </c>
    </row>
    <row r="24" spans="1:28" s="120" customFormat="1" ht="30">
      <c r="A24" s="213">
        <v>22</v>
      </c>
      <c r="B24" s="166" t="s">
        <v>184</v>
      </c>
      <c r="C24" s="198" t="s">
        <v>67</v>
      </c>
      <c r="D24" s="242" t="s">
        <v>143</v>
      </c>
      <c r="E24" s="220">
        <v>2415011</v>
      </c>
      <c r="F24" s="221" t="s">
        <v>303</v>
      </c>
      <c r="G24" s="119" t="s">
        <v>233</v>
      </c>
      <c r="H24" s="197" t="s">
        <v>417</v>
      </c>
      <c r="I24" s="199">
        <v>1.3320000000000001</v>
      </c>
      <c r="J24" s="247" t="s">
        <v>445</v>
      </c>
      <c r="K24" s="211">
        <v>2142985</v>
      </c>
      <c r="L24" s="201">
        <f t="shared" si="12"/>
        <v>1392940.25</v>
      </c>
      <c r="M24" s="202">
        <f t="shared" si="13"/>
        <v>750044.75</v>
      </c>
      <c r="N24" s="222">
        <v>0.65</v>
      </c>
      <c r="O24" s="201">
        <v>0</v>
      </c>
      <c r="P24" s="201">
        <v>464313.2</v>
      </c>
      <c r="Q24" s="201">
        <v>464313.2</v>
      </c>
      <c r="R24" s="201">
        <v>464313.85</v>
      </c>
      <c r="S24" s="211"/>
      <c r="T24" s="211"/>
      <c r="U24" s="211"/>
      <c r="V24" s="211"/>
      <c r="W24" s="211"/>
      <c r="X24" s="211"/>
      <c r="Y24" s="115" t="b">
        <f t="shared" si="8"/>
        <v>1</v>
      </c>
      <c r="Z24" s="117">
        <f t="shared" si="9"/>
        <v>0.65</v>
      </c>
      <c r="AA24" s="118" t="b">
        <f t="shared" si="10"/>
        <v>1</v>
      </c>
      <c r="AB24" s="118" t="b">
        <f t="shared" si="11"/>
        <v>1</v>
      </c>
    </row>
    <row r="25" spans="1:28" ht="30">
      <c r="A25" s="215">
        <v>23</v>
      </c>
      <c r="B25" s="165" t="s">
        <v>186</v>
      </c>
      <c r="C25" s="204" t="s">
        <v>68</v>
      </c>
      <c r="D25" s="241" t="s">
        <v>145</v>
      </c>
      <c r="E25" s="216">
        <v>2406062</v>
      </c>
      <c r="F25" s="217" t="s">
        <v>299</v>
      </c>
      <c r="G25" s="160" t="s">
        <v>235</v>
      </c>
      <c r="H25" s="203" t="s">
        <v>124</v>
      </c>
      <c r="I25" s="205">
        <v>0.41</v>
      </c>
      <c r="J25" s="246" t="s">
        <v>420</v>
      </c>
      <c r="K25" s="260">
        <v>600000</v>
      </c>
      <c r="L25" s="206">
        <f t="shared" si="12"/>
        <v>300000</v>
      </c>
      <c r="M25" s="207">
        <f t="shared" si="13"/>
        <v>300000</v>
      </c>
      <c r="N25" s="218">
        <v>0.5</v>
      </c>
      <c r="O25" s="206">
        <v>0</v>
      </c>
      <c r="P25" s="206">
        <v>300000</v>
      </c>
      <c r="Q25" s="260"/>
      <c r="R25" s="260"/>
      <c r="S25" s="260"/>
      <c r="T25" s="260"/>
      <c r="U25" s="260"/>
      <c r="V25" s="260"/>
      <c r="W25" s="260"/>
      <c r="X25" s="260"/>
      <c r="Y25" s="115" t="b">
        <f t="shared" si="8"/>
        <v>1</v>
      </c>
      <c r="Z25" s="117">
        <f t="shared" si="9"/>
        <v>0.5</v>
      </c>
      <c r="AA25" s="118" t="b">
        <f t="shared" si="10"/>
        <v>1</v>
      </c>
      <c r="AB25" s="118" t="b">
        <f t="shared" si="11"/>
        <v>1</v>
      </c>
    </row>
    <row r="26" spans="1:28" ht="30">
      <c r="A26" s="215">
        <v>24</v>
      </c>
      <c r="B26" s="165" t="s">
        <v>187</v>
      </c>
      <c r="C26" s="204" t="s">
        <v>68</v>
      </c>
      <c r="D26" s="241" t="s">
        <v>146</v>
      </c>
      <c r="E26" s="216">
        <v>2406023</v>
      </c>
      <c r="F26" s="217" t="s">
        <v>299</v>
      </c>
      <c r="G26" s="160" t="s">
        <v>236</v>
      </c>
      <c r="H26" s="203" t="s">
        <v>122</v>
      </c>
      <c r="I26" s="205">
        <v>0.33</v>
      </c>
      <c r="J26" s="246" t="s">
        <v>447</v>
      </c>
      <c r="K26" s="260">
        <v>714638</v>
      </c>
      <c r="L26" s="206">
        <f t="shared" si="12"/>
        <v>500246.6</v>
      </c>
      <c r="M26" s="207">
        <f t="shared" si="13"/>
        <v>214391.40000000002</v>
      </c>
      <c r="N26" s="218">
        <v>0.7</v>
      </c>
      <c r="O26" s="206">
        <v>0</v>
      </c>
      <c r="P26" s="206">
        <v>500246.6</v>
      </c>
      <c r="Q26" s="260"/>
      <c r="R26" s="260"/>
      <c r="S26" s="260"/>
      <c r="T26" s="260"/>
      <c r="U26" s="260"/>
      <c r="V26" s="260"/>
      <c r="W26" s="260"/>
      <c r="X26" s="260"/>
      <c r="Y26" s="115" t="b">
        <f t="shared" si="8"/>
        <v>1</v>
      </c>
      <c r="Z26" s="117">
        <f t="shared" si="9"/>
        <v>0.7</v>
      </c>
      <c r="AA26" s="118" t="b">
        <f t="shared" si="10"/>
        <v>1</v>
      </c>
      <c r="AB26" s="118" t="b">
        <f t="shared" si="11"/>
        <v>1</v>
      </c>
    </row>
    <row r="27" spans="1:28" ht="30">
      <c r="A27" s="215">
        <v>25</v>
      </c>
      <c r="B27" s="165" t="s">
        <v>188</v>
      </c>
      <c r="C27" s="204" t="s">
        <v>68</v>
      </c>
      <c r="D27" s="241" t="s">
        <v>147</v>
      </c>
      <c r="E27" s="216">
        <v>2406082</v>
      </c>
      <c r="F27" s="217" t="s">
        <v>299</v>
      </c>
      <c r="G27" s="160" t="s">
        <v>237</v>
      </c>
      <c r="H27" s="203" t="s">
        <v>124</v>
      </c>
      <c r="I27" s="205">
        <v>1.1819999999999999</v>
      </c>
      <c r="J27" s="246" t="s">
        <v>448</v>
      </c>
      <c r="K27" s="260">
        <v>1950000</v>
      </c>
      <c r="L27" s="206">
        <f t="shared" si="12"/>
        <v>975000</v>
      </c>
      <c r="M27" s="207">
        <f t="shared" si="13"/>
        <v>975000</v>
      </c>
      <c r="N27" s="218">
        <v>0.5</v>
      </c>
      <c r="O27" s="206">
        <v>0</v>
      </c>
      <c r="P27" s="206">
        <v>975000</v>
      </c>
      <c r="Q27" s="260"/>
      <c r="R27" s="260"/>
      <c r="S27" s="260"/>
      <c r="T27" s="260"/>
      <c r="U27" s="260"/>
      <c r="V27" s="260"/>
      <c r="W27" s="260"/>
      <c r="X27" s="260"/>
      <c r="Y27" s="115" t="b">
        <f t="shared" si="8"/>
        <v>1</v>
      </c>
      <c r="Z27" s="117">
        <f t="shared" si="9"/>
        <v>0.5</v>
      </c>
      <c r="AA27" s="118" t="b">
        <f t="shared" si="10"/>
        <v>1</v>
      </c>
      <c r="AB27" s="118" t="b">
        <f t="shared" si="11"/>
        <v>1</v>
      </c>
    </row>
    <row r="28" spans="1:28" ht="30">
      <c r="A28" s="215">
        <v>26</v>
      </c>
      <c r="B28" s="165" t="s">
        <v>189</v>
      </c>
      <c r="C28" s="204" t="s">
        <v>68</v>
      </c>
      <c r="D28" s="241" t="s">
        <v>148</v>
      </c>
      <c r="E28" s="216">
        <v>2417082</v>
      </c>
      <c r="F28" s="217" t="s">
        <v>426</v>
      </c>
      <c r="G28" s="160" t="s">
        <v>238</v>
      </c>
      <c r="H28" s="203" t="s">
        <v>417</v>
      </c>
      <c r="I28" s="205">
        <v>1.19</v>
      </c>
      <c r="J28" s="246" t="s">
        <v>449</v>
      </c>
      <c r="K28" s="260">
        <v>748629</v>
      </c>
      <c r="L28" s="206">
        <f t="shared" si="12"/>
        <v>449177.4</v>
      </c>
      <c r="M28" s="207">
        <f t="shared" si="13"/>
        <v>299451.59999999998</v>
      </c>
      <c r="N28" s="218">
        <v>0.6</v>
      </c>
      <c r="O28" s="206">
        <v>0</v>
      </c>
      <c r="P28" s="206">
        <v>449177.4</v>
      </c>
      <c r="Q28" s="260"/>
      <c r="R28" s="260"/>
      <c r="S28" s="260"/>
      <c r="T28" s="260"/>
      <c r="U28" s="260"/>
      <c r="V28" s="260"/>
      <c r="W28" s="260"/>
      <c r="X28" s="260"/>
      <c r="Y28" s="115" t="b">
        <f t="shared" si="8"/>
        <v>1</v>
      </c>
      <c r="Z28" s="117">
        <f t="shared" si="9"/>
        <v>0.6</v>
      </c>
      <c r="AA28" s="118" t="b">
        <f t="shared" si="10"/>
        <v>1</v>
      </c>
      <c r="AB28" s="118" t="b">
        <f t="shared" si="11"/>
        <v>1</v>
      </c>
    </row>
    <row r="29" spans="1:28" ht="30">
      <c r="A29" s="215">
        <v>27</v>
      </c>
      <c r="B29" s="165" t="s">
        <v>190</v>
      </c>
      <c r="C29" s="204" t="s">
        <v>68</v>
      </c>
      <c r="D29" s="241" t="s">
        <v>149</v>
      </c>
      <c r="E29" s="219">
        <v>2462011</v>
      </c>
      <c r="F29" s="217" t="s">
        <v>428</v>
      </c>
      <c r="G29" s="160" t="s">
        <v>239</v>
      </c>
      <c r="H29" s="203" t="s">
        <v>124</v>
      </c>
      <c r="I29" s="205">
        <v>0.7</v>
      </c>
      <c r="J29" s="246" t="s">
        <v>443</v>
      </c>
      <c r="K29" s="260">
        <v>1930507</v>
      </c>
      <c r="L29" s="206">
        <v>1447880</v>
      </c>
      <c r="M29" s="207">
        <v>482627</v>
      </c>
      <c r="N29" s="218">
        <v>0.75</v>
      </c>
      <c r="O29" s="206"/>
      <c r="P29" s="206">
        <v>1447880</v>
      </c>
      <c r="Q29" s="260"/>
      <c r="R29" s="260"/>
      <c r="S29" s="260"/>
      <c r="T29" s="260"/>
      <c r="U29" s="260"/>
      <c r="V29" s="260"/>
      <c r="W29" s="260"/>
      <c r="X29" s="260"/>
      <c r="Y29" s="115" t="b">
        <f t="shared" si="8"/>
        <v>1</v>
      </c>
      <c r="Z29" s="117">
        <f t="shared" si="9"/>
        <v>0.75</v>
      </c>
      <c r="AA29" s="118" t="b">
        <f t="shared" si="10"/>
        <v>1</v>
      </c>
      <c r="AB29" s="118" t="b">
        <f t="shared" si="11"/>
        <v>1</v>
      </c>
    </row>
    <row r="30" spans="1:28" ht="30">
      <c r="A30" s="215">
        <v>28</v>
      </c>
      <c r="B30" s="165" t="s">
        <v>191</v>
      </c>
      <c r="C30" s="204" t="s">
        <v>68</v>
      </c>
      <c r="D30" s="241" t="s">
        <v>150</v>
      </c>
      <c r="E30" s="216">
        <v>2403103</v>
      </c>
      <c r="F30" s="217" t="s">
        <v>427</v>
      </c>
      <c r="G30" s="160" t="s">
        <v>240</v>
      </c>
      <c r="H30" s="203" t="s">
        <v>417</v>
      </c>
      <c r="I30" s="205">
        <v>0.52100000000000002</v>
      </c>
      <c r="J30" s="246" t="s">
        <v>450</v>
      </c>
      <c r="K30" s="260">
        <v>2399059</v>
      </c>
      <c r="L30" s="206">
        <v>1799294</v>
      </c>
      <c r="M30" s="207">
        <v>599765</v>
      </c>
      <c r="N30" s="218">
        <v>0.75</v>
      </c>
      <c r="O30" s="206"/>
      <c r="P30" s="206">
        <v>1799294</v>
      </c>
      <c r="Q30" s="260"/>
      <c r="R30" s="260"/>
      <c r="S30" s="260"/>
      <c r="T30" s="260"/>
      <c r="U30" s="260"/>
      <c r="V30" s="260"/>
      <c r="W30" s="260"/>
      <c r="X30" s="260"/>
      <c r="Y30" s="115" t="b">
        <f t="shared" si="8"/>
        <v>1</v>
      </c>
      <c r="Z30" s="117">
        <f t="shared" si="9"/>
        <v>0.75</v>
      </c>
      <c r="AA30" s="118" t="b">
        <f t="shared" si="10"/>
        <v>1</v>
      </c>
      <c r="AB30" s="118" t="b">
        <f t="shared" si="11"/>
        <v>1</v>
      </c>
    </row>
    <row r="31" spans="1:28" ht="30">
      <c r="A31" s="215">
        <v>29</v>
      </c>
      <c r="B31" s="165" t="s">
        <v>192</v>
      </c>
      <c r="C31" s="204" t="s">
        <v>68</v>
      </c>
      <c r="D31" s="241" t="s">
        <v>151</v>
      </c>
      <c r="E31" s="216">
        <v>2407022</v>
      </c>
      <c r="F31" s="217" t="s">
        <v>429</v>
      </c>
      <c r="G31" s="160" t="s">
        <v>241</v>
      </c>
      <c r="H31" s="203" t="s">
        <v>122</v>
      </c>
      <c r="I31" s="205">
        <v>0.32600000000000001</v>
      </c>
      <c r="J31" s="246" t="s">
        <v>444</v>
      </c>
      <c r="K31" s="260">
        <v>653547</v>
      </c>
      <c r="L31" s="206">
        <f t="shared" si="12"/>
        <v>326773.5</v>
      </c>
      <c r="M31" s="207">
        <f t="shared" si="13"/>
        <v>326773.5</v>
      </c>
      <c r="N31" s="218">
        <v>0.5</v>
      </c>
      <c r="O31" s="206">
        <v>0</v>
      </c>
      <c r="P31" s="206">
        <v>326773.5</v>
      </c>
      <c r="Q31" s="260"/>
      <c r="R31" s="260"/>
      <c r="S31" s="260"/>
      <c r="T31" s="260"/>
      <c r="U31" s="260"/>
      <c r="V31" s="260"/>
      <c r="W31" s="260"/>
      <c r="X31" s="260"/>
      <c r="Y31" s="115" t="b">
        <f t="shared" si="8"/>
        <v>1</v>
      </c>
      <c r="Z31" s="117">
        <f t="shared" si="9"/>
        <v>0.5</v>
      </c>
      <c r="AA31" s="118" t="b">
        <f t="shared" si="10"/>
        <v>1</v>
      </c>
      <c r="AB31" s="118" t="b">
        <f t="shared" si="11"/>
        <v>1</v>
      </c>
    </row>
    <row r="32" spans="1:28" s="120" customFormat="1" ht="60">
      <c r="A32" s="213">
        <v>30</v>
      </c>
      <c r="B32" s="166" t="s">
        <v>193</v>
      </c>
      <c r="C32" s="198" t="s">
        <v>67</v>
      </c>
      <c r="D32" s="242" t="s">
        <v>152</v>
      </c>
      <c r="E32" s="220">
        <v>2415092</v>
      </c>
      <c r="F32" s="221" t="s">
        <v>303</v>
      </c>
      <c r="G32" s="119" t="s">
        <v>242</v>
      </c>
      <c r="H32" s="197" t="s">
        <v>124</v>
      </c>
      <c r="I32" s="199">
        <v>0.65100000000000002</v>
      </c>
      <c r="J32" s="247" t="s">
        <v>451</v>
      </c>
      <c r="K32" s="211">
        <v>3209912</v>
      </c>
      <c r="L32" s="201">
        <f t="shared" si="12"/>
        <v>1604956</v>
      </c>
      <c r="M32" s="202">
        <f t="shared" si="13"/>
        <v>1604956</v>
      </c>
      <c r="N32" s="222">
        <v>0.5</v>
      </c>
      <c r="O32" s="201">
        <v>0</v>
      </c>
      <c r="P32" s="201">
        <v>600000</v>
      </c>
      <c r="Q32" s="211">
        <v>1004956</v>
      </c>
      <c r="R32" s="211"/>
      <c r="S32" s="211"/>
      <c r="T32" s="211"/>
      <c r="U32" s="211"/>
      <c r="V32" s="211"/>
      <c r="W32" s="211"/>
      <c r="X32" s="211"/>
      <c r="Y32" s="115" t="b">
        <f t="shared" si="8"/>
        <v>1</v>
      </c>
      <c r="Z32" s="117">
        <f t="shared" si="9"/>
        <v>0.5</v>
      </c>
      <c r="AA32" s="118" t="b">
        <f t="shared" si="10"/>
        <v>1</v>
      </c>
      <c r="AB32" s="118" t="b">
        <f t="shared" si="11"/>
        <v>1</v>
      </c>
    </row>
    <row r="33" spans="1:28" ht="30">
      <c r="A33" s="215">
        <v>31</v>
      </c>
      <c r="B33" s="165" t="s">
        <v>194</v>
      </c>
      <c r="C33" s="204" t="s">
        <v>68</v>
      </c>
      <c r="D33" s="241" t="s">
        <v>153</v>
      </c>
      <c r="E33" s="216">
        <v>2403082</v>
      </c>
      <c r="F33" s="217" t="s">
        <v>427</v>
      </c>
      <c r="G33" s="160" t="s">
        <v>243</v>
      </c>
      <c r="H33" s="203" t="s">
        <v>124</v>
      </c>
      <c r="I33" s="205">
        <v>0.61699999999999999</v>
      </c>
      <c r="J33" s="246" t="s">
        <v>441</v>
      </c>
      <c r="K33" s="260">
        <v>2141400</v>
      </c>
      <c r="L33" s="206">
        <f t="shared" si="12"/>
        <v>1177770</v>
      </c>
      <c r="M33" s="207">
        <f t="shared" si="13"/>
        <v>963630</v>
      </c>
      <c r="N33" s="218">
        <v>0.55000000000000004</v>
      </c>
      <c r="O33" s="206">
        <v>0</v>
      </c>
      <c r="P33" s="206">
        <v>1177770</v>
      </c>
      <c r="Q33" s="260"/>
      <c r="R33" s="260"/>
      <c r="S33" s="260"/>
      <c r="T33" s="260"/>
      <c r="U33" s="260"/>
      <c r="V33" s="260"/>
      <c r="W33" s="260"/>
      <c r="X33" s="260"/>
      <c r="Y33" s="115" t="b">
        <f t="shared" si="8"/>
        <v>1</v>
      </c>
      <c r="Z33" s="117">
        <f t="shared" si="9"/>
        <v>0.55000000000000004</v>
      </c>
      <c r="AA33" s="118" t="b">
        <f t="shared" si="10"/>
        <v>1</v>
      </c>
      <c r="AB33" s="118" t="b">
        <f t="shared" si="11"/>
        <v>1</v>
      </c>
    </row>
    <row r="34" spans="1:28" ht="30">
      <c r="A34" s="215">
        <v>32</v>
      </c>
      <c r="B34" s="165" t="s">
        <v>195</v>
      </c>
      <c r="C34" s="204" t="s">
        <v>68</v>
      </c>
      <c r="D34" s="241" t="s">
        <v>154</v>
      </c>
      <c r="E34" s="216">
        <v>2414011</v>
      </c>
      <c r="F34" s="217" t="s">
        <v>430</v>
      </c>
      <c r="G34" s="160" t="s">
        <v>244</v>
      </c>
      <c r="H34" s="203" t="s">
        <v>122</v>
      </c>
      <c r="I34" s="205">
        <v>0.65900000000000003</v>
      </c>
      <c r="J34" s="246" t="s">
        <v>452</v>
      </c>
      <c r="K34" s="260">
        <v>1591489</v>
      </c>
      <c r="L34" s="206">
        <f t="shared" si="12"/>
        <v>795744.5</v>
      </c>
      <c r="M34" s="207">
        <f t="shared" si="13"/>
        <v>795744.5</v>
      </c>
      <c r="N34" s="218">
        <v>0.5</v>
      </c>
      <c r="O34" s="206">
        <v>0</v>
      </c>
      <c r="P34" s="206">
        <v>795744.5</v>
      </c>
      <c r="Q34" s="260"/>
      <c r="R34" s="260"/>
      <c r="S34" s="260"/>
      <c r="T34" s="260"/>
      <c r="U34" s="260"/>
      <c r="V34" s="260"/>
      <c r="W34" s="260"/>
      <c r="X34" s="260"/>
      <c r="Y34" s="115" t="b">
        <f t="shared" si="8"/>
        <v>1</v>
      </c>
      <c r="Z34" s="117">
        <f t="shared" si="9"/>
        <v>0.5</v>
      </c>
      <c r="AA34" s="118" t="b">
        <f t="shared" si="10"/>
        <v>1</v>
      </c>
      <c r="AB34" s="118" t="b">
        <f t="shared" si="11"/>
        <v>1</v>
      </c>
    </row>
    <row r="35" spans="1:28" ht="30">
      <c r="A35" s="215">
        <v>33</v>
      </c>
      <c r="B35" s="165" t="s">
        <v>196</v>
      </c>
      <c r="C35" s="204" t="s">
        <v>68</v>
      </c>
      <c r="D35" s="241" t="s">
        <v>155</v>
      </c>
      <c r="E35" s="216">
        <v>2415062</v>
      </c>
      <c r="F35" s="217" t="s">
        <v>303</v>
      </c>
      <c r="G35" s="160" t="s">
        <v>245</v>
      </c>
      <c r="H35" s="203" t="s">
        <v>124</v>
      </c>
      <c r="I35" s="205">
        <v>0.66100000000000003</v>
      </c>
      <c r="J35" s="246" t="s">
        <v>453</v>
      </c>
      <c r="K35" s="260">
        <v>1927690</v>
      </c>
      <c r="L35" s="206">
        <f>ROUND(K35*N35,2)</f>
        <v>1060229.5</v>
      </c>
      <c r="M35" s="207">
        <f>K35-L35</f>
        <v>867460.5</v>
      </c>
      <c r="N35" s="218">
        <v>0.55000000000000004</v>
      </c>
      <c r="O35" s="206">
        <v>0</v>
      </c>
      <c r="P35" s="206">
        <v>1060229.5</v>
      </c>
      <c r="Q35" s="260"/>
      <c r="R35" s="260"/>
      <c r="S35" s="260"/>
      <c r="T35" s="260"/>
      <c r="U35" s="260"/>
      <c r="V35" s="260"/>
      <c r="W35" s="260"/>
      <c r="X35" s="260"/>
      <c r="Y35" s="115" t="b">
        <f t="shared" si="8"/>
        <v>1</v>
      </c>
      <c r="Z35" s="117">
        <f t="shared" si="9"/>
        <v>0.55000000000000004</v>
      </c>
      <c r="AA35" s="118" t="b">
        <f t="shared" si="10"/>
        <v>1</v>
      </c>
      <c r="AB35" s="118" t="b">
        <f t="shared" si="11"/>
        <v>1</v>
      </c>
    </row>
    <row r="36" spans="1:28" ht="30">
      <c r="A36" s="215">
        <v>34</v>
      </c>
      <c r="B36" s="165" t="s">
        <v>197</v>
      </c>
      <c r="C36" s="204" t="s">
        <v>68</v>
      </c>
      <c r="D36" s="241" t="s">
        <v>156</v>
      </c>
      <c r="E36" s="216">
        <v>2407052</v>
      </c>
      <c r="F36" s="217" t="s">
        <v>429</v>
      </c>
      <c r="G36" s="160" t="s">
        <v>246</v>
      </c>
      <c r="H36" s="203" t="s">
        <v>124</v>
      </c>
      <c r="I36" s="205">
        <v>0.60299999999999998</v>
      </c>
      <c r="J36" s="246" t="s">
        <v>454</v>
      </c>
      <c r="K36" s="260">
        <v>896816</v>
      </c>
      <c r="L36" s="206">
        <f t="shared" ref="L36:L65" si="14">ROUND(K36*N36,2)</f>
        <v>538089.6</v>
      </c>
      <c r="M36" s="207">
        <f t="shared" ref="M36:M65" si="15">K36-L36</f>
        <v>358726.40000000002</v>
      </c>
      <c r="N36" s="218">
        <v>0.6</v>
      </c>
      <c r="O36" s="206">
        <v>0</v>
      </c>
      <c r="P36" s="206">
        <v>538089.6</v>
      </c>
      <c r="Q36" s="260"/>
      <c r="R36" s="260"/>
      <c r="S36" s="260"/>
      <c r="T36" s="260"/>
      <c r="U36" s="260"/>
      <c r="V36" s="260"/>
      <c r="W36" s="260"/>
      <c r="X36" s="260"/>
      <c r="Y36" s="115" t="b">
        <f t="shared" si="8"/>
        <v>1</v>
      </c>
      <c r="Z36" s="117">
        <f t="shared" si="9"/>
        <v>0.6</v>
      </c>
      <c r="AA36" s="118" t="b">
        <f t="shared" si="10"/>
        <v>1</v>
      </c>
      <c r="AB36" s="118" t="b">
        <f t="shared" si="11"/>
        <v>1</v>
      </c>
    </row>
    <row r="37" spans="1:28" ht="30">
      <c r="A37" s="215">
        <v>35</v>
      </c>
      <c r="B37" s="165" t="s">
        <v>198</v>
      </c>
      <c r="C37" s="204" t="s">
        <v>68</v>
      </c>
      <c r="D37" s="241" t="s">
        <v>149</v>
      </c>
      <c r="E37" s="219">
        <v>2462011</v>
      </c>
      <c r="F37" s="217" t="s">
        <v>428</v>
      </c>
      <c r="G37" s="160" t="s">
        <v>247</v>
      </c>
      <c r="H37" s="203" t="s">
        <v>124</v>
      </c>
      <c r="I37" s="205">
        <v>0.13500000000000001</v>
      </c>
      <c r="J37" s="246" t="s">
        <v>443</v>
      </c>
      <c r="K37" s="260">
        <v>916315</v>
      </c>
      <c r="L37" s="206">
        <v>687236</v>
      </c>
      <c r="M37" s="207">
        <v>229079</v>
      </c>
      <c r="N37" s="218">
        <v>0.75</v>
      </c>
      <c r="O37" s="206"/>
      <c r="P37" s="206">
        <v>687236</v>
      </c>
      <c r="Q37" s="260"/>
      <c r="R37" s="260"/>
      <c r="S37" s="260"/>
      <c r="T37" s="260"/>
      <c r="U37" s="260"/>
      <c r="V37" s="260"/>
      <c r="W37" s="260"/>
      <c r="X37" s="260"/>
      <c r="Y37" s="115" t="b">
        <f t="shared" si="8"/>
        <v>1</v>
      </c>
      <c r="Z37" s="117">
        <f t="shared" si="9"/>
        <v>0.75</v>
      </c>
      <c r="AA37" s="118" t="b">
        <f t="shared" si="10"/>
        <v>1</v>
      </c>
      <c r="AB37" s="118" t="b">
        <f t="shared" si="11"/>
        <v>1</v>
      </c>
    </row>
    <row r="38" spans="1:28" ht="30">
      <c r="A38" s="215">
        <v>36</v>
      </c>
      <c r="B38" s="165" t="s">
        <v>199</v>
      </c>
      <c r="C38" s="204" t="s">
        <v>68</v>
      </c>
      <c r="D38" s="241" t="s">
        <v>157</v>
      </c>
      <c r="E38" s="457">
        <v>2404063</v>
      </c>
      <c r="F38" s="217" t="s">
        <v>431</v>
      </c>
      <c r="G38" s="458" t="s">
        <v>248</v>
      </c>
      <c r="H38" s="203" t="s">
        <v>124</v>
      </c>
      <c r="I38" s="205">
        <v>0.64500000000000002</v>
      </c>
      <c r="J38" s="246" t="s">
        <v>455</v>
      </c>
      <c r="K38" s="260">
        <v>1005988</v>
      </c>
      <c r="L38" s="206">
        <v>754491</v>
      </c>
      <c r="M38" s="207">
        <v>251497</v>
      </c>
      <c r="N38" s="218">
        <v>0.75</v>
      </c>
      <c r="O38" s="206"/>
      <c r="P38" s="206">
        <v>754491</v>
      </c>
      <c r="Q38" s="260"/>
      <c r="R38" s="260"/>
      <c r="S38" s="260"/>
      <c r="T38" s="260"/>
      <c r="U38" s="260"/>
      <c r="V38" s="260"/>
      <c r="W38" s="260"/>
      <c r="X38" s="260"/>
      <c r="Y38" s="115" t="b">
        <f t="shared" si="8"/>
        <v>1</v>
      </c>
      <c r="Z38" s="117">
        <f t="shared" si="9"/>
        <v>0.75</v>
      </c>
      <c r="AA38" s="118" t="b">
        <f t="shared" si="10"/>
        <v>1</v>
      </c>
      <c r="AB38" s="118" t="b">
        <f t="shared" si="11"/>
        <v>1</v>
      </c>
    </row>
    <row r="39" spans="1:28" ht="30">
      <c r="A39" s="215">
        <v>37</v>
      </c>
      <c r="B39" s="165" t="s">
        <v>200</v>
      </c>
      <c r="C39" s="204" t="s">
        <v>68</v>
      </c>
      <c r="D39" s="241" t="s">
        <v>158</v>
      </c>
      <c r="E39" s="216">
        <v>2404102</v>
      </c>
      <c r="F39" s="217" t="s">
        <v>431</v>
      </c>
      <c r="G39" s="160" t="s">
        <v>249</v>
      </c>
      <c r="H39" s="203" t="s">
        <v>124</v>
      </c>
      <c r="I39" s="205">
        <v>0.36399999999999999</v>
      </c>
      <c r="J39" s="246" t="s">
        <v>420</v>
      </c>
      <c r="K39" s="260">
        <v>1078500</v>
      </c>
      <c r="L39" s="206">
        <f t="shared" si="14"/>
        <v>593175</v>
      </c>
      <c r="M39" s="207">
        <f t="shared" si="15"/>
        <v>485325</v>
      </c>
      <c r="N39" s="218">
        <v>0.55000000000000004</v>
      </c>
      <c r="O39" s="206">
        <v>0</v>
      </c>
      <c r="P39" s="206">
        <v>593175</v>
      </c>
      <c r="Q39" s="260"/>
      <c r="R39" s="260"/>
      <c r="S39" s="260"/>
      <c r="T39" s="260"/>
      <c r="U39" s="260"/>
      <c r="V39" s="260"/>
      <c r="W39" s="260"/>
      <c r="X39" s="260"/>
      <c r="Y39" s="115" t="b">
        <f t="shared" si="8"/>
        <v>1</v>
      </c>
      <c r="Z39" s="117">
        <f t="shared" si="9"/>
        <v>0.55000000000000004</v>
      </c>
      <c r="AA39" s="118" t="b">
        <f t="shared" si="10"/>
        <v>1</v>
      </c>
      <c r="AB39" s="118" t="b">
        <f t="shared" si="11"/>
        <v>1</v>
      </c>
    </row>
    <row r="40" spans="1:28" ht="30">
      <c r="A40" s="215">
        <v>38</v>
      </c>
      <c r="B40" s="165" t="s">
        <v>201</v>
      </c>
      <c r="C40" s="204" t="s">
        <v>68</v>
      </c>
      <c r="D40" s="241" t="s">
        <v>159</v>
      </c>
      <c r="E40" s="216">
        <v>2406052</v>
      </c>
      <c r="F40" s="217" t="s">
        <v>299</v>
      </c>
      <c r="G40" s="160" t="s">
        <v>250</v>
      </c>
      <c r="H40" s="203" t="s">
        <v>124</v>
      </c>
      <c r="I40" s="205">
        <v>0.41</v>
      </c>
      <c r="J40" s="246" t="s">
        <v>456</v>
      </c>
      <c r="K40" s="260">
        <v>370805</v>
      </c>
      <c r="L40" s="206">
        <f t="shared" si="14"/>
        <v>259563.5</v>
      </c>
      <c r="M40" s="207">
        <f t="shared" si="15"/>
        <v>111241.5</v>
      </c>
      <c r="N40" s="218">
        <v>0.7</v>
      </c>
      <c r="O40" s="206">
        <v>0</v>
      </c>
      <c r="P40" s="206">
        <v>259563.5</v>
      </c>
      <c r="Q40" s="260"/>
      <c r="R40" s="260"/>
      <c r="S40" s="260"/>
      <c r="T40" s="260"/>
      <c r="U40" s="260"/>
      <c r="V40" s="260"/>
      <c r="W40" s="260"/>
      <c r="X40" s="260"/>
      <c r="Y40" s="115" t="b">
        <f t="shared" si="8"/>
        <v>1</v>
      </c>
      <c r="Z40" s="117">
        <f t="shared" si="9"/>
        <v>0.7</v>
      </c>
      <c r="AA40" s="118" t="b">
        <f t="shared" si="10"/>
        <v>1</v>
      </c>
      <c r="AB40" s="118" t="b">
        <f t="shared" si="11"/>
        <v>1</v>
      </c>
    </row>
    <row r="41" spans="1:28" ht="30">
      <c r="A41" s="215">
        <v>39</v>
      </c>
      <c r="B41" s="165" t="s">
        <v>202</v>
      </c>
      <c r="C41" s="204" t="s">
        <v>68</v>
      </c>
      <c r="D41" s="241" t="s">
        <v>160</v>
      </c>
      <c r="E41" s="216">
        <v>2413031</v>
      </c>
      <c r="F41" s="217" t="s">
        <v>334</v>
      </c>
      <c r="G41" s="160" t="s">
        <v>251</v>
      </c>
      <c r="H41" s="203" t="s">
        <v>124</v>
      </c>
      <c r="I41" s="205">
        <v>0.48</v>
      </c>
      <c r="J41" s="246" t="s">
        <v>420</v>
      </c>
      <c r="K41" s="260">
        <v>1316979</v>
      </c>
      <c r="L41" s="206">
        <f t="shared" si="14"/>
        <v>658489.5</v>
      </c>
      <c r="M41" s="207">
        <f t="shared" si="15"/>
        <v>658489.5</v>
      </c>
      <c r="N41" s="218">
        <v>0.5</v>
      </c>
      <c r="O41" s="206">
        <v>0</v>
      </c>
      <c r="P41" s="206">
        <v>658489.5</v>
      </c>
      <c r="Q41" s="260"/>
      <c r="R41" s="260"/>
      <c r="S41" s="260"/>
      <c r="T41" s="260"/>
      <c r="U41" s="260"/>
      <c r="V41" s="260"/>
      <c r="W41" s="260"/>
      <c r="X41" s="260"/>
      <c r="Y41" s="115" t="b">
        <f t="shared" si="8"/>
        <v>1</v>
      </c>
      <c r="Z41" s="117">
        <f t="shared" si="9"/>
        <v>0.5</v>
      </c>
      <c r="AA41" s="118" t="b">
        <f t="shared" si="10"/>
        <v>1</v>
      </c>
      <c r="AB41" s="118" t="b">
        <f t="shared" si="11"/>
        <v>1</v>
      </c>
    </row>
    <row r="42" spans="1:28" s="120" customFormat="1" ht="30">
      <c r="A42" s="213">
        <v>40</v>
      </c>
      <c r="B42" s="166" t="s">
        <v>203</v>
      </c>
      <c r="C42" s="198" t="s">
        <v>67</v>
      </c>
      <c r="D42" s="242" t="s">
        <v>161</v>
      </c>
      <c r="E42" s="216">
        <v>2405011</v>
      </c>
      <c r="F42" s="221" t="s">
        <v>432</v>
      </c>
      <c r="G42" s="119" t="s">
        <v>252</v>
      </c>
      <c r="H42" s="197" t="s">
        <v>124</v>
      </c>
      <c r="I42" s="199">
        <v>0.71399999999999997</v>
      </c>
      <c r="J42" s="247" t="s">
        <v>458</v>
      </c>
      <c r="K42" s="211">
        <v>7579841</v>
      </c>
      <c r="L42" s="201">
        <f t="shared" si="14"/>
        <v>3789920.5</v>
      </c>
      <c r="M42" s="202">
        <f t="shared" si="15"/>
        <v>3789920.5</v>
      </c>
      <c r="N42" s="222">
        <v>0.5</v>
      </c>
      <c r="O42" s="201">
        <v>0</v>
      </c>
      <c r="P42" s="201">
        <v>3410928.5</v>
      </c>
      <c r="Q42" s="211">
        <v>378992</v>
      </c>
      <c r="R42" s="211"/>
      <c r="S42" s="211"/>
      <c r="T42" s="211"/>
      <c r="U42" s="211"/>
      <c r="V42" s="211"/>
      <c r="W42" s="211"/>
      <c r="X42" s="211"/>
      <c r="Y42" s="115" t="b">
        <f t="shared" si="8"/>
        <v>1</v>
      </c>
      <c r="Z42" s="117">
        <f t="shared" si="9"/>
        <v>0.5</v>
      </c>
      <c r="AA42" s="118" t="b">
        <f t="shared" si="10"/>
        <v>1</v>
      </c>
      <c r="AB42" s="118" t="b">
        <f t="shared" si="11"/>
        <v>1</v>
      </c>
    </row>
    <row r="43" spans="1:28" ht="30">
      <c r="A43" s="215">
        <v>41</v>
      </c>
      <c r="B43" s="165" t="s">
        <v>204</v>
      </c>
      <c r="C43" s="204" t="s">
        <v>68</v>
      </c>
      <c r="D43" s="241" t="s">
        <v>162</v>
      </c>
      <c r="E43" s="216">
        <v>2405082</v>
      </c>
      <c r="F43" s="217" t="s">
        <v>432</v>
      </c>
      <c r="G43" s="160" t="s">
        <v>253</v>
      </c>
      <c r="H43" s="203" t="s">
        <v>124</v>
      </c>
      <c r="I43" s="205">
        <v>0.376</v>
      </c>
      <c r="J43" s="246" t="s">
        <v>459</v>
      </c>
      <c r="K43" s="260">
        <v>314946</v>
      </c>
      <c r="L43" s="206">
        <f t="shared" si="14"/>
        <v>157473</v>
      </c>
      <c r="M43" s="207">
        <f t="shared" si="15"/>
        <v>157473</v>
      </c>
      <c r="N43" s="218">
        <v>0.5</v>
      </c>
      <c r="O43" s="206">
        <v>0</v>
      </c>
      <c r="P43" s="206">
        <v>157473</v>
      </c>
      <c r="Q43" s="260"/>
      <c r="R43" s="260"/>
      <c r="S43" s="260"/>
      <c r="T43" s="260"/>
      <c r="U43" s="260"/>
      <c r="V43" s="260"/>
      <c r="W43" s="260"/>
      <c r="X43" s="260"/>
      <c r="Y43" s="115" t="b">
        <f t="shared" si="8"/>
        <v>1</v>
      </c>
      <c r="Z43" s="117">
        <f t="shared" si="9"/>
        <v>0.5</v>
      </c>
      <c r="AA43" s="118" t="b">
        <f t="shared" si="10"/>
        <v>1</v>
      </c>
      <c r="AB43" s="118" t="b">
        <f t="shared" si="11"/>
        <v>1</v>
      </c>
    </row>
    <row r="44" spans="1:28" s="120" customFormat="1" ht="60">
      <c r="A44" s="213">
        <v>42</v>
      </c>
      <c r="B44" s="166" t="s">
        <v>205</v>
      </c>
      <c r="C44" s="198" t="s">
        <v>67</v>
      </c>
      <c r="D44" s="242" t="s">
        <v>163</v>
      </c>
      <c r="E44" s="220">
        <v>2411011</v>
      </c>
      <c r="F44" s="221" t="s">
        <v>315</v>
      </c>
      <c r="G44" s="119" t="s">
        <v>254</v>
      </c>
      <c r="H44" s="197" t="s">
        <v>124</v>
      </c>
      <c r="I44" s="199">
        <v>0.49199999999999999</v>
      </c>
      <c r="J44" s="247" t="s">
        <v>460</v>
      </c>
      <c r="K44" s="211">
        <v>1899804</v>
      </c>
      <c r="L44" s="201">
        <f t="shared" si="14"/>
        <v>949902</v>
      </c>
      <c r="M44" s="202">
        <f t="shared" si="15"/>
        <v>949902</v>
      </c>
      <c r="N44" s="222">
        <v>0.5</v>
      </c>
      <c r="O44" s="201">
        <v>0</v>
      </c>
      <c r="P44" s="201">
        <v>611418</v>
      </c>
      <c r="Q44" s="211">
        <v>338484</v>
      </c>
      <c r="R44" s="211"/>
      <c r="S44" s="211"/>
      <c r="T44" s="211"/>
      <c r="U44" s="211"/>
      <c r="V44" s="211"/>
      <c r="W44" s="211"/>
      <c r="X44" s="211"/>
      <c r="Y44" s="115" t="b">
        <f t="shared" si="8"/>
        <v>1</v>
      </c>
      <c r="Z44" s="117">
        <f t="shared" si="9"/>
        <v>0.5</v>
      </c>
      <c r="AA44" s="118" t="b">
        <f t="shared" si="10"/>
        <v>1</v>
      </c>
      <c r="AB44" s="118" t="b">
        <f t="shared" si="11"/>
        <v>1</v>
      </c>
    </row>
    <row r="45" spans="1:28" ht="30">
      <c r="A45" s="215">
        <v>43</v>
      </c>
      <c r="B45" s="165" t="s">
        <v>206</v>
      </c>
      <c r="C45" s="204" t="s">
        <v>68</v>
      </c>
      <c r="D45" s="241" t="s">
        <v>164</v>
      </c>
      <c r="E45" s="216">
        <v>2404032</v>
      </c>
      <c r="F45" s="217" t="s">
        <v>431</v>
      </c>
      <c r="G45" s="160" t="s">
        <v>255</v>
      </c>
      <c r="H45" s="203" t="s">
        <v>124</v>
      </c>
      <c r="I45" s="205">
        <v>0.65700000000000003</v>
      </c>
      <c r="J45" s="246" t="s">
        <v>441</v>
      </c>
      <c r="K45" s="260">
        <v>1056010</v>
      </c>
      <c r="L45" s="206">
        <f t="shared" si="14"/>
        <v>633606</v>
      </c>
      <c r="M45" s="207">
        <f t="shared" si="15"/>
        <v>422404</v>
      </c>
      <c r="N45" s="218">
        <v>0.6</v>
      </c>
      <c r="O45" s="206">
        <v>0</v>
      </c>
      <c r="P45" s="206">
        <v>633606</v>
      </c>
      <c r="Q45" s="260"/>
      <c r="R45" s="260"/>
      <c r="S45" s="260"/>
      <c r="T45" s="260"/>
      <c r="U45" s="260"/>
      <c r="V45" s="260"/>
      <c r="W45" s="260"/>
      <c r="X45" s="260"/>
      <c r="Y45" s="115" t="b">
        <f t="shared" si="8"/>
        <v>1</v>
      </c>
      <c r="Z45" s="117">
        <f t="shared" si="9"/>
        <v>0.6</v>
      </c>
      <c r="AA45" s="118" t="b">
        <f t="shared" si="10"/>
        <v>1</v>
      </c>
      <c r="AB45" s="118" t="b">
        <f t="shared" si="11"/>
        <v>1</v>
      </c>
    </row>
    <row r="46" spans="1:28" s="120" customFormat="1" ht="45">
      <c r="A46" s="213">
        <v>44</v>
      </c>
      <c r="B46" s="166" t="s">
        <v>207</v>
      </c>
      <c r="C46" s="198" t="s">
        <v>67</v>
      </c>
      <c r="D46" s="242" t="s">
        <v>165</v>
      </c>
      <c r="E46" s="220">
        <v>2402032</v>
      </c>
      <c r="F46" s="221" t="s">
        <v>310</v>
      </c>
      <c r="G46" s="119" t="s">
        <v>256</v>
      </c>
      <c r="H46" s="197" t="s">
        <v>124</v>
      </c>
      <c r="I46" s="199">
        <v>0.58699999999999997</v>
      </c>
      <c r="J46" s="247" t="s">
        <v>461</v>
      </c>
      <c r="K46" s="211">
        <v>2945322</v>
      </c>
      <c r="L46" s="201">
        <f t="shared" si="14"/>
        <v>1619927.1</v>
      </c>
      <c r="M46" s="202">
        <f t="shared" si="15"/>
        <v>1325394.8999999999</v>
      </c>
      <c r="N46" s="222">
        <v>0.55000000000000004</v>
      </c>
      <c r="O46" s="201">
        <v>0</v>
      </c>
      <c r="P46" s="201">
        <v>550000</v>
      </c>
      <c r="Q46" s="211">
        <v>1069927.1000000001</v>
      </c>
      <c r="R46" s="211"/>
      <c r="S46" s="211"/>
      <c r="T46" s="211"/>
      <c r="U46" s="211"/>
      <c r="V46" s="211"/>
      <c r="W46" s="211"/>
      <c r="X46" s="211"/>
      <c r="Y46" s="115" t="b">
        <f t="shared" si="8"/>
        <v>1</v>
      </c>
      <c r="Z46" s="117">
        <f t="shared" si="9"/>
        <v>0.55000000000000004</v>
      </c>
      <c r="AA46" s="118" t="b">
        <f t="shared" si="10"/>
        <v>1</v>
      </c>
      <c r="AB46" s="118" t="b">
        <f t="shared" si="11"/>
        <v>1</v>
      </c>
    </row>
    <row r="47" spans="1:28" ht="30">
      <c r="A47" s="215">
        <v>45</v>
      </c>
      <c r="B47" s="165" t="s">
        <v>208</v>
      </c>
      <c r="C47" s="204" t="s">
        <v>68</v>
      </c>
      <c r="D47" s="241" t="s">
        <v>166</v>
      </c>
      <c r="E47" s="216">
        <v>2401042</v>
      </c>
      <c r="F47" s="217" t="s">
        <v>337</v>
      </c>
      <c r="G47" s="160" t="s">
        <v>257</v>
      </c>
      <c r="H47" s="203" t="s">
        <v>124</v>
      </c>
      <c r="I47" s="205">
        <v>0.47499999999999998</v>
      </c>
      <c r="J47" s="246" t="s">
        <v>443</v>
      </c>
      <c r="K47" s="260">
        <v>396735</v>
      </c>
      <c r="L47" s="206">
        <v>297551</v>
      </c>
      <c r="M47" s="207">
        <v>99184</v>
      </c>
      <c r="N47" s="218">
        <v>0.75</v>
      </c>
      <c r="O47" s="206"/>
      <c r="P47" s="206">
        <v>297551</v>
      </c>
      <c r="Q47" s="260"/>
      <c r="R47" s="260"/>
      <c r="S47" s="260"/>
      <c r="T47" s="260"/>
      <c r="U47" s="260"/>
      <c r="V47" s="260"/>
      <c r="W47" s="260"/>
      <c r="X47" s="260"/>
      <c r="Y47" s="115" t="b">
        <f t="shared" si="8"/>
        <v>1</v>
      </c>
      <c r="Z47" s="117">
        <f t="shared" si="9"/>
        <v>0.75</v>
      </c>
      <c r="AA47" s="118" t="b">
        <f t="shared" si="10"/>
        <v>1</v>
      </c>
      <c r="AB47" s="118" t="b">
        <f t="shared" si="11"/>
        <v>1</v>
      </c>
    </row>
    <row r="48" spans="1:28" ht="30">
      <c r="A48" s="215">
        <v>46</v>
      </c>
      <c r="B48" s="165" t="s">
        <v>209</v>
      </c>
      <c r="C48" s="204" t="s">
        <v>68</v>
      </c>
      <c r="D48" s="241" t="s">
        <v>167</v>
      </c>
      <c r="E48" s="457">
        <v>2405042</v>
      </c>
      <c r="F48" s="217" t="s">
        <v>432</v>
      </c>
      <c r="G48" s="458" t="s">
        <v>258</v>
      </c>
      <c r="H48" s="203" t="s">
        <v>124</v>
      </c>
      <c r="I48" s="205">
        <v>1.2410000000000001</v>
      </c>
      <c r="J48" s="246" t="s">
        <v>416</v>
      </c>
      <c r="K48" s="260">
        <v>1738516</v>
      </c>
      <c r="L48" s="206">
        <v>1303887</v>
      </c>
      <c r="M48" s="207">
        <v>434629</v>
      </c>
      <c r="N48" s="218">
        <v>0.75</v>
      </c>
      <c r="O48" s="206"/>
      <c r="P48" s="206">
        <v>1303887</v>
      </c>
      <c r="Q48" s="260"/>
      <c r="R48" s="260"/>
      <c r="S48" s="260"/>
      <c r="T48" s="260"/>
      <c r="U48" s="260"/>
      <c r="V48" s="260"/>
      <c r="W48" s="260"/>
      <c r="X48" s="260"/>
      <c r="Y48" s="115" t="b">
        <f t="shared" si="8"/>
        <v>1</v>
      </c>
      <c r="Z48" s="117">
        <f t="shared" si="9"/>
        <v>0.75</v>
      </c>
      <c r="AA48" s="118" t="b">
        <f t="shared" si="10"/>
        <v>1</v>
      </c>
      <c r="AB48" s="118" t="b">
        <f t="shared" si="11"/>
        <v>1</v>
      </c>
    </row>
    <row r="49" spans="1:28" ht="30">
      <c r="A49" s="215">
        <v>47</v>
      </c>
      <c r="B49" s="165" t="s">
        <v>210</v>
      </c>
      <c r="C49" s="204" t="s">
        <v>68</v>
      </c>
      <c r="D49" s="241" t="s">
        <v>168</v>
      </c>
      <c r="E49" s="216">
        <v>2403113</v>
      </c>
      <c r="F49" s="217" t="s">
        <v>427</v>
      </c>
      <c r="G49" s="160" t="s">
        <v>259</v>
      </c>
      <c r="H49" s="203" t="s">
        <v>124</v>
      </c>
      <c r="I49" s="205">
        <v>0.18</v>
      </c>
      <c r="J49" s="246" t="s">
        <v>453</v>
      </c>
      <c r="K49" s="260">
        <v>645242</v>
      </c>
      <c r="L49" s="206">
        <f t="shared" si="14"/>
        <v>354883.1</v>
      </c>
      <c r="M49" s="207">
        <f t="shared" si="15"/>
        <v>290358.90000000002</v>
      </c>
      <c r="N49" s="218">
        <v>0.55000000000000004</v>
      </c>
      <c r="O49" s="206">
        <v>0</v>
      </c>
      <c r="P49" s="206">
        <v>354883.1</v>
      </c>
      <c r="Q49" s="260"/>
      <c r="R49" s="260"/>
      <c r="S49" s="260"/>
      <c r="T49" s="260"/>
      <c r="U49" s="260"/>
      <c r="V49" s="260"/>
      <c r="W49" s="260"/>
      <c r="X49" s="260"/>
      <c r="Y49" s="115" t="b">
        <f t="shared" si="8"/>
        <v>1</v>
      </c>
      <c r="Z49" s="117">
        <f t="shared" si="9"/>
        <v>0.55000000000000004</v>
      </c>
      <c r="AA49" s="118" t="b">
        <f t="shared" si="10"/>
        <v>1</v>
      </c>
      <c r="AB49" s="118" t="b">
        <f t="shared" si="11"/>
        <v>1</v>
      </c>
    </row>
    <row r="50" spans="1:28" ht="30">
      <c r="A50" s="215">
        <v>48</v>
      </c>
      <c r="B50" s="165" t="s">
        <v>211</v>
      </c>
      <c r="C50" s="204" t="s">
        <v>68</v>
      </c>
      <c r="D50" s="241" t="s">
        <v>169</v>
      </c>
      <c r="E50" s="216">
        <v>2417102</v>
      </c>
      <c r="F50" s="217" t="s">
        <v>426</v>
      </c>
      <c r="G50" s="160" t="s">
        <v>260</v>
      </c>
      <c r="H50" s="203" t="s">
        <v>124</v>
      </c>
      <c r="I50" s="205">
        <v>0.32</v>
      </c>
      <c r="J50" s="246" t="s">
        <v>448</v>
      </c>
      <c r="K50" s="260">
        <v>203156</v>
      </c>
      <c r="L50" s="206">
        <f t="shared" si="14"/>
        <v>132051.4</v>
      </c>
      <c r="M50" s="207">
        <f t="shared" si="15"/>
        <v>71104.600000000006</v>
      </c>
      <c r="N50" s="218">
        <v>0.65</v>
      </c>
      <c r="O50" s="206">
        <v>0</v>
      </c>
      <c r="P50" s="206">
        <v>132051.4</v>
      </c>
      <c r="Q50" s="260"/>
      <c r="R50" s="260"/>
      <c r="S50" s="260"/>
      <c r="T50" s="260"/>
      <c r="U50" s="260"/>
      <c r="V50" s="260"/>
      <c r="W50" s="260"/>
      <c r="X50" s="260"/>
      <c r="Y50" s="115" t="b">
        <f t="shared" si="8"/>
        <v>1</v>
      </c>
      <c r="Z50" s="117">
        <f t="shared" si="9"/>
        <v>0.65</v>
      </c>
      <c r="AA50" s="118" t="b">
        <f t="shared" si="10"/>
        <v>1</v>
      </c>
      <c r="AB50" s="118" t="b">
        <f t="shared" si="11"/>
        <v>1</v>
      </c>
    </row>
    <row r="51" spans="1:28" ht="105">
      <c r="A51" s="215">
        <v>49</v>
      </c>
      <c r="B51" s="165" t="s">
        <v>212</v>
      </c>
      <c r="C51" s="204" t="s">
        <v>68</v>
      </c>
      <c r="D51" s="241" t="s">
        <v>139</v>
      </c>
      <c r="E51" s="216">
        <v>2416021</v>
      </c>
      <c r="F51" s="217" t="s">
        <v>313</v>
      </c>
      <c r="G51" s="160" t="s">
        <v>261</v>
      </c>
      <c r="H51" s="203" t="s">
        <v>124</v>
      </c>
      <c r="I51" s="205">
        <v>0.81</v>
      </c>
      <c r="J51" s="246" t="s">
        <v>419</v>
      </c>
      <c r="K51" s="260">
        <v>1166935</v>
      </c>
      <c r="L51" s="206">
        <f t="shared" si="14"/>
        <v>583467.5</v>
      </c>
      <c r="M51" s="207">
        <f t="shared" si="15"/>
        <v>583467.5</v>
      </c>
      <c r="N51" s="218">
        <v>0.5</v>
      </c>
      <c r="O51" s="206">
        <v>0</v>
      </c>
      <c r="P51" s="206">
        <v>583467.5</v>
      </c>
      <c r="Q51" s="260"/>
      <c r="R51" s="260"/>
      <c r="S51" s="260"/>
      <c r="T51" s="260"/>
      <c r="U51" s="260"/>
      <c r="V51" s="260"/>
      <c r="W51" s="260"/>
      <c r="X51" s="260"/>
      <c r="Y51" s="115" t="b">
        <f t="shared" si="8"/>
        <v>1</v>
      </c>
      <c r="Z51" s="117">
        <f t="shared" si="9"/>
        <v>0.5</v>
      </c>
      <c r="AA51" s="118" t="b">
        <f t="shared" si="10"/>
        <v>1</v>
      </c>
      <c r="AB51" s="118" t="b">
        <f t="shared" si="11"/>
        <v>1</v>
      </c>
    </row>
    <row r="52" spans="1:28" ht="30">
      <c r="A52" s="215">
        <v>50</v>
      </c>
      <c r="B52" s="165" t="s">
        <v>213</v>
      </c>
      <c r="C52" s="204" t="s">
        <v>68</v>
      </c>
      <c r="D52" s="241" t="s">
        <v>166</v>
      </c>
      <c r="E52" s="216">
        <v>2401042</v>
      </c>
      <c r="F52" s="217" t="s">
        <v>337</v>
      </c>
      <c r="G52" s="160" t="s">
        <v>262</v>
      </c>
      <c r="H52" s="203" t="s">
        <v>122</v>
      </c>
      <c r="I52" s="205">
        <v>0.38</v>
      </c>
      <c r="J52" s="246" t="s">
        <v>421</v>
      </c>
      <c r="K52" s="260">
        <v>787385</v>
      </c>
      <c r="L52" s="206">
        <f t="shared" si="14"/>
        <v>393692.5</v>
      </c>
      <c r="M52" s="207">
        <f t="shared" si="15"/>
        <v>393692.5</v>
      </c>
      <c r="N52" s="218">
        <v>0.5</v>
      </c>
      <c r="O52" s="206">
        <v>0</v>
      </c>
      <c r="P52" s="206">
        <v>393692.5</v>
      </c>
      <c r="Q52" s="260"/>
      <c r="R52" s="260"/>
      <c r="S52" s="260"/>
      <c r="T52" s="260"/>
      <c r="U52" s="260"/>
      <c r="V52" s="260"/>
      <c r="W52" s="260"/>
      <c r="X52" s="260"/>
      <c r="Y52" s="115" t="b">
        <f t="shared" si="8"/>
        <v>1</v>
      </c>
      <c r="Z52" s="117">
        <f t="shared" si="9"/>
        <v>0.5</v>
      </c>
      <c r="AA52" s="118" t="b">
        <f t="shared" si="10"/>
        <v>1</v>
      </c>
      <c r="AB52" s="118" t="b">
        <f t="shared" si="11"/>
        <v>1</v>
      </c>
    </row>
    <row r="53" spans="1:28" ht="30">
      <c r="A53" s="215">
        <v>51</v>
      </c>
      <c r="B53" s="165" t="s">
        <v>214</v>
      </c>
      <c r="C53" s="204" t="s">
        <v>68</v>
      </c>
      <c r="D53" s="241" t="s">
        <v>154</v>
      </c>
      <c r="E53" s="216">
        <v>2414011</v>
      </c>
      <c r="F53" s="217" t="s">
        <v>430</v>
      </c>
      <c r="G53" s="160" t="s">
        <v>263</v>
      </c>
      <c r="H53" s="203" t="s">
        <v>124</v>
      </c>
      <c r="I53" s="205">
        <v>0.40500000000000003</v>
      </c>
      <c r="J53" s="246" t="s">
        <v>452</v>
      </c>
      <c r="K53" s="260">
        <v>1883983</v>
      </c>
      <c r="L53" s="206">
        <f t="shared" si="14"/>
        <v>941991.5</v>
      </c>
      <c r="M53" s="207">
        <f t="shared" si="15"/>
        <v>941991.5</v>
      </c>
      <c r="N53" s="218">
        <v>0.5</v>
      </c>
      <c r="O53" s="206">
        <v>0</v>
      </c>
      <c r="P53" s="206">
        <v>941991.5</v>
      </c>
      <c r="Q53" s="260"/>
      <c r="R53" s="260"/>
      <c r="S53" s="260"/>
      <c r="T53" s="260"/>
      <c r="U53" s="260"/>
      <c r="V53" s="260"/>
      <c r="W53" s="260"/>
      <c r="X53" s="260"/>
      <c r="Y53" s="115" t="b">
        <f t="shared" si="8"/>
        <v>1</v>
      </c>
      <c r="Z53" s="117">
        <f t="shared" si="9"/>
        <v>0.5</v>
      </c>
      <c r="AA53" s="118" t="b">
        <f t="shared" si="10"/>
        <v>1</v>
      </c>
      <c r="AB53" s="118" t="b">
        <f t="shared" si="11"/>
        <v>1</v>
      </c>
    </row>
    <row r="54" spans="1:28" ht="60">
      <c r="A54" s="215">
        <v>52</v>
      </c>
      <c r="B54" s="165" t="s">
        <v>215</v>
      </c>
      <c r="C54" s="204" t="s">
        <v>68</v>
      </c>
      <c r="D54" s="241" t="s">
        <v>170</v>
      </c>
      <c r="E54" s="216">
        <v>2409032</v>
      </c>
      <c r="F54" s="217" t="s">
        <v>324</v>
      </c>
      <c r="G54" s="160" t="s">
        <v>264</v>
      </c>
      <c r="H54" s="203" t="s">
        <v>122</v>
      </c>
      <c r="I54" s="205">
        <v>0.39</v>
      </c>
      <c r="J54" s="246" t="s">
        <v>440</v>
      </c>
      <c r="K54" s="260">
        <v>1042583</v>
      </c>
      <c r="L54" s="206">
        <f t="shared" si="14"/>
        <v>573420.65</v>
      </c>
      <c r="M54" s="207">
        <f t="shared" si="15"/>
        <v>469162.35</v>
      </c>
      <c r="N54" s="218">
        <v>0.55000000000000004</v>
      </c>
      <c r="O54" s="206">
        <v>0</v>
      </c>
      <c r="P54" s="206">
        <v>573420.65</v>
      </c>
      <c r="Q54" s="260"/>
      <c r="R54" s="260"/>
      <c r="S54" s="260"/>
      <c r="T54" s="260"/>
      <c r="U54" s="260"/>
      <c r="V54" s="260"/>
      <c r="W54" s="260"/>
      <c r="X54" s="260"/>
      <c r="Y54" s="115" t="b">
        <f t="shared" si="8"/>
        <v>1</v>
      </c>
      <c r="Z54" s="117">
        <f t="shared" si="9"/>
        <v>0.55000000000000004</v>
      </c>
      <c r="AA54" s="118" t="b">
        <f t="shared" si="10"/>
        <v>1</v>
      </c>
      <c r="AB54" s="118" t="b">
        <f t="shared" si="11"/>
        <v>1</v>
      </c>
    </row>
    <row r="55" spans="1:28" ht="30">
      <c r="A55" s="215">
        <v>53</v>
      </c>
      <c r="B55" s="165" t="s">
        <v>216</v>
      </c>
      <c r="C55" s="204" t="s">
        <v>68</v>
      </c>
      <c r="D55" s="241" t="s">
        <v>171</v>
      </c>
      <c r="E55" s="216">
        <v>2406042</v>
      </c>
      <c r="F55" s="217" t="s">
        <v>299</v>
      </c>
      <c r="G55" s="160" t="s">
        <v>265</v>
      </c>
      <c r="H55" s="203" t="s">
        <v>122</v>
      </c>
      <c r="I55" s="205">
        <v>0.438</v>
      </c>
      <c r="J55" s="246" t="s">
        <v>448</v>
      </c>
      <c r="K55" s="260">
        <v>1450556</v>
      </c>
      <c r="L55" s="206">
        <f t="shared" si="14"/>
        <v>797805.8</v>
      </c>
      <c r="M55" s="207">
        <f t="shared" si="15"/>
        <v>652750.19999999995</v>
      </c>
      <c r="N55" s="218">
        <v>0.55000000000000004</v>
      </c>
      <c r="O55" s="206">
        <v>0</v>
      </c>
      <c r="P55" s="206">
        <v>797805.8</v>
      </c>
      <c r="Q55" s="260"/>
      <c r="R55" s="260"/>
      <c r="S55" s="260"/>
      <c r="T55" s="260"/>
      <c r="U55" s="260"/>
      <c r="V55" s="260"/>
      <c r="W55" s="260"/>
      <c r="X55" s="260"/>
      <c r="Y55" s="115" t="b">
        <f t="shared" si="8"/>
        <v>1</v>
      </c>
      <c r="Z55" s="117">
        <f t="shared" si="9"/>
        <v>0.55000000000000004</v>
      </c>
      <c r="AA55" s="118" t="b">
        <f t="shared" si="10"/>
        <v>1</v>
      </c>
      <c r="AB55" s="118" t="b">
        <f t="shared" si="11"/>
        <v>1</v>
      </c>
    </row>
    <row r="56" spans="1:28" ht="30">
      <c r="A56" s="215">
        <v>54</v>
      </c>
      <c r="B56" s="165" t="s">
        <v>217</v>
      </c>
      <c r="C56" s="204" t="s">
        <v>68</v>
      </c>
      <c r="D56" s="241" t="s">
        <v>147</v>
      </c>
      <c r="E56" s="216">
        <v>2406082</v>
      </c>
      <c r="F56" s="217" t="s">
        <v>299</v>
      </c>
      <c r="G56" s="160" t="s">
        <v>266</v>
      </c>
      <c r="H56" s="203" t="s">
        <v>124</v>
      </c>
      <c r="I56" s="205">
        <v>0.51400000000000001</v>
      </c>
      <c r="J56" s="246" t="s">
        <v>448</v>
      </c>
      <c r="K56" s="260">
        <v>600000</v>
      </c>
      <c r="L56" s="206">
        <f t="shared" si="14"/>
        <v>300000</v>
      </c>
      <c r="M56" s="207">
        <f t="shared" si="15"/>
        <v>300000</v>
      </c>
      <c r="N56" s="218">
        <v>0.5</v>
      </c>
      <c r="O56" s="206">
        <v>0</v>
      </c>
      <c r="P56" s="206">
        <v>300000</v>
      </c>
      <c r="Q56" s="260"/>
      <c r="R56" s="260"/>
      <c r="S56" s="260"/>
      <c r="T56" s="260"/>
      <c r="U56" s="260"/>
      <c r="V56" s="260"/>
      <c r="W56" s="260"/>
      <c r="X56" s="260"/>
      <c r="Y56" s="115" t="b">
        <f t="shared" si="8"/>
        <v>1</v>
      </c>
      <c r="Z56" s="117">
        <f t="shared" si="9"/>
        <v>0.5</v>
      </c>
      <c r="AA56" s="118" t="b">
        <f t="shared" si="10"/>
        <v>1</v>
      </c>
      <c r="AB56" s="118" t="b">
        <f t="shared" si="11"/>
        <v>1</v>
      </c>
    </row>
    <row r="57" spans="1:28" ht="30">
      <c r="A57" s="215">
        <v>55</v>
      </c>
      <c r="B57" s="165" t="s">
        <v>218</v>
      </c>
      <c r="C57" s="204" t="s">
        <v>68</v>
      </c>
      <c r="D57" s="241" t="s">
        <v>159</v>
      </c>
      <c r="E57" s="216">
        <v>2406052</v>
      </c>
      <c r="F57" s="217" t="s">
        <v>299</v>
      </c>
      <c r="G57" s="160" t="s">
        <v>267</v>
      </c>
      <c r="H57" s="203" t="s">
        <v>124</v>
      </c>
      <c r="I57" s="205">
        <v>0.33500000000000002</v>
      </c>
      <c r="J57" s="246" t="s">
        <v>457</v>
      </c>
      <c r="K57" s="260">
        <v>344818</v>
      </c>
      <c r="L57" s="206">
        <f t="shared" si="14"/>
        <v>241372.6</v>
      </c>
      <c r="M57" s="207">
        <f t="shared" si="15"/>
        <v>103445.4</v>
      </c>
      <c r="N57" s="218">
        <v>0.7</v>
      </c>
      <c r="O57" s="206">
        <v>0</v>
      </c>
      <c r="P57" s="206">
        <v>241372.6</v>
      </c>
      <c r="Q57" s="260"/>
      <c r="R57" s="260"/>
      <c r="S57" s="260"/>
      <c r="T57" s="260"/>
      <c r="U57" s="260"/>
      <c r="V57" s="260"/>
      <c r="W57" s="260"/>
      <c r="X57" s="260"/>
      <c r="Y57" s="115" t="b">
        <f t="shared" si="8"/>
        <v>1</v>
      </c>
      <c r="Z57" s="117">
        <f t="shared" si="9"/>
        <v>0.7</v>
      </c>
      <c r="AA57" s="118" t="b">
        <f t="shared" si="10"/>
        <v>1</v>
      </c>
      <c r="AB57" s="118" t="b">
        <f t="shared" si="11"/>
        <v>1</v>
      </c>
    </row>
    <row r="58" spans="1:28" ht="30">
      <c r="A58" s="215">
        <v>56</v>
      </c>
      <c r="B58" s="165" t="s">
        <v>219</v>
      </c>
      <c r="C58" s="204" t="s">
        <v>68</v>
      </c>
      <c r="D58" s="241" t="s">
        <v>172</v>
      </c>
      <c r="E58" s="216">
        <v>2407042</v>
      </c>
      <c r="F58" s="217" t="s">
        <v>429</v>
      </c>
      <c r="G58" s="160" t="s">
        <v>268</v>
      </c>
      <c r="H58" s="203" t="s">
        <v>124</v>
      </c>
      <c r="I58" s="205">
        <v>0.27200000000000002</v>
      </c>
      <c r="J58" s="246" t="s">
        <v>448</v>
      </c>
      <c r="K58" s="260">
        <v>491453</v>
      </c>
      <c r="L58" s="206">
        <f t="shared" si="14"/>
        <v>245726.5</v>
      </c>
      <c r="M58" s="207">
        <f t="shared" si="15"/>
        <v>245726.5</v>
      </c>
      <c r="N58" s="218">
        <v>0.5</v>
      </c>
      <c r="O58" s="206">
        <v>0</v>
      </c>
      <c r="P58" s="206">
        <v>245726.5</v>
      </c>
      <c r="Q58" s="260"/>
      <c r="R58" s="260"/>
      <c r="S58" s="260"/>
      <c r="T58" s="260"/>
      <c r="U58" s="260"/>
      <c r="V58" s="260"/>
      <c r="W58" s="260"/>
      <c r="X58" s="260"/>
      <c r="Y58" s="115" t="b">
        <f t="shared" si="8"/>
        <v>1</v>
      </c>
      <c r="Z58" s="117">
        <f t="shared" si="9"/>
        <v>0.5</v>
      </c>
      <c r="AA58" s="118" t="b">
        <f t="shared" si="10"/>
        <v>1</v>
      </c>
      <c r="AB58" s="118" t="b">
        <f t="shared" si="11"/>
        <v>1</v>
      </c>
    </row>
    <row r="59" spans="1:28" ht="30">
      <c r="A59" s="215">
        <v>57</v>
      </c>
      <c r="B59" s="167" t="s">
        <v>220</v>
      </c>
      <c r="C59" s="204" t="s">
        <v>68</v>
      </c>
      <c r="D59" s="241" t="s">
        <v>173</v>
      </c>
      <c r="E59" s="216">
        <v>2404152</v>
      </c>
      <c r="F59" s="217" t="s">
        <v>431</v>
      </c>
      <c r="G59" s="160" t="s">
        <v>269</v>
      </c>
      <c r="H59" s="203" t="s">
        <v>124</v>
      </c>
      <c r="I59" s="205">
        <v>0.755</v>
      </c>
      <c r="J59" s="246" t="s">
        <v>450</v>
      </c>
      <c r="K59" s="260">
        <v>2021667</v>
      </c>
      <c r="L59" s="206">
        <f t="shared" si="14"/>
        <v>1111916.8500000001</v>
      </c>
      <c r="M59" s="207">
        <f t="shared" si="15"/>
        <v>909750.14999999991</v>
      </c>
      <c r="N59" s="218">
        <v>0.55000000000000004</v>
      </c>
      <c r="O59" s="206">
        <v>0</v>
      </c>
      <c r="P59" s="206">
        <v>1111916.8500000001</v>
      </c>
      <c r="Q59" s="260"/>
      <c r="R59" s="260"/>
      <c r="S59" s="260"/>
      <c r="T59" s="260"/>
      <c r="U59" s="260"/>
      <c r="V59" s="260"/>
      <c r="W59" s="260"/>
      <c r="X59" s="260"/>
      <c r="Y59" s="115" t="b">
        <f t="shared" si="8"/>
        <v>1</v>
      </c>
      <c r="Z59" s="117">
        <f t="shared" si="9"/>
        <v>0.55000000000000004</v>
      </c>
      <c r="AA59" s="118" t="b">
        <f t="shared" si="10"/>
        <v>1</v>
      </c>
      <c r="AB59" s="118" t="b">
        <f t="shared" si="11"/>
        <v>1</v>
      </c>
    </row>
    <row r="60" spans="1:28" ht="30">
      <c r="A60" s="215">
        <v>58</v>
      </c>
      <c r="B60" s="165" t="s">
        <v>221</v>
      </c>
      <c r="C60" s="204" t="s">
        <v>68</v>
      </c>
      <c r="D60" s="241" t="s">
        <v>145</v>
      </c>
      <c r="E60" s="216">
        <v>2406062</v>
      </c>
      <c r="F60" s="217" t="s">
        <v>299</v>
      </c>
      <c r="G60" s="160" t="s">
        <v>270</v>
      </c>
      <c r="H60" s="203" t="s">
        <v>124</v>
      </c>
      <c r="I60" s="205">
        <v>1.405</v>
      </c>
      <c r="J60" s="246" t="s">
        <v>446</v>
      </c>
      <c r="K60" s="260">
        <v>3000000</v>
      </c>
      <c r="L60" s="206">
        <f t="shared" si="14"/>
        <v>1500000</v>
      </c>
      <c r="M60" s="207">
        <f t="shared" si="15"/>
        <v>1500000</v>
      </c>
      <c r="N60" s="218">
        <v>0.5</v>
      </c>
      <c r="O60" s="206">
        <v>0</v>
      </c>
      <c r="P60" s="206">
        <v>1500000</v>
      </c>
      <c r="Q60" s="260"/>
      <c r="R60" s="260"/>
      <c r="S60" s="260"/>
      <c r="T60" s="260"/>
      <c r="U60" s="260"/>
      <c r="V60" s="260"/>
      <c r="W60" s="260"/>
      <c r="X60" s="260"/>
      <c r="Y60" s="115" t="b">
        <f t="shared" si="8"/>
        <v>1</v>
      </c>
      <c r="Z60" s="117">
        <f t="shared" si="9"/>
        <v>0.5</v>
      </c>
      <c r="AA60" s="118" t="b">
        <f t="shared" si="10"/>
        <v>1</v>
      </c>
      <c r="AB60" s="118" t="b">
        <f t="shared" si="11"/>
        <v>1</v>
      </c>
    </row>
    <row r="61" spans="1:28" ht="30">
      <c r="A61" s="215">
        <v>59</v>
      </c>
      <c r="B61" s="165" t="s">
        <v>222</v>
      </c>
      <c r="C61" s="204" t="s">
        <v>68</v>
      </c>
      <c r="D61" s="241" t="s">
        <v>174</v>
      </c>
      <c r="E61" s="216">
        <v>2412052</v>
      </c>
      <c r="F61" s="217" t="s">
        <v>330</v>
      </c>
      <c r="G61" s="160" t="s">
        <v>271</v>
      </c>
      <c r="H61" s="203" t="s">
        <v>124</v>
      </c>
      <c r="I61" s="205">
        <v>0.40799999999999997</v>
      </c>
      <c r="J61" s="246" t="s">
        <v>423</v>
      </c>
      <c r="K61" s="260">
        <v>1725369</v>
      </c>
      <c r="L61" s="206">
        <f t="shared" si="14"/>
        <v>862684.5</v>
      </c>
      <c r="M61" s="207">
        <f t="shared" si="15"/>
        <v>862684.5</v>
      </c>
      <c r="N61" s="218">
        <v>0.5</v>
      </c>
      <c r="O61" s="206">
        <v>0</v>
      </c>
      <c r="P61" s="206">
        <v>862684.5</v>
      </c>
      <c r="Q61" s="260"/>
      <c r="R61" s="260"/>
      <c r="S61" s="260"/>
      <c r="T61" s="260"/>
      <c r="U61" s="260"/>
      <c r="V61" s="260"/>
      <c r="W61" s="260"/>
      <c r="X61" s="260"/>
      <c r="Y61" s="115" t="b">
        <f t="shared" si="8"/>
        <v>1</v>
      </c>
      <c r="Z61" s="117">
        <f t="shared" si="9"/>
        <v>0.5</v>
      </c>
      <c r="AA61" s="118" t="b">
        <f t="shared" si="10"/>
        <v>1</v>
      </c>
      <c r="AB61" s="118" t="b">
        <f t="shared" si="11"/>
        <v>1</v>
      </c>
    </row>
    <row r="62" spans="1:28" ht="30">
      <c r="A62" s="215">
        <v>60</v>
      </c>
      <c r="B62" s="165" t="s">
        <v>223</v>
      </c>
      <c r="C62" s="204" t="s">
        <v>68</v>
      </c>
      <c r="D62" s="241" t="s">
        <v>81</v>
      </c>
      <c r="E62" s="219">
        <v>2470011</v>
      </c>
      <c r="F62" s="217" t="s">
        <v>433</v>
      </c>
      <c r="G62" s="160" t="s">
        <v>272</v>
      </c>
      <c r="H62" s="203" t="s">
        <v>124</v>
      </c>
      <c r="I62" s="205">
        <v>0.34100000000000003</v>
      </c>
      <c r="J62" s="246" t="s">
        <v>423</v>
      </c>
      <c r="K62" s="260">
        <v>2534109</v>
      </c>
      <c r="L62" s="206">
        <v>1900581</v>
      </c>
      <c r="M62" s="207">
        <v>633528</v>
      </c>
      <c r="N62" s="218">
        <v>0.75</v>
      </c>
      <c r="O62" s="206"/>
      <c r="P62" s="206">
        <v>1900581</v>
      </c>
      <c r="Q62" s="260"/>
      <c r="R62" s="260"/>
      <c r="S62" s="260"/>
      <c r="T62" s="260"/>
      <c r="U62" s="260"/>
      <c r="V62" s="260"/>
      <c r="W62" s="260"/>
      <c r="X62" s="260"/>
      <c r="Y62" s="115" t="b">
        <f t="shared" si="8"/>
        <v>1</v>
      </c>
      <c r="Z62" s="117">
        <f t="shared" si="9"/>
        <v>0.75</v>
      </c>
      <c r="AA62" s="118" t="b">
        <f t="shared" si="10"/>
        <v>1</v>
      </c>
      <c r="AB62" s="118" t="b">
        <f t="shared" si="11"/>
        <v>1</v>
      </c>
    </row>
    <row r="63" spans="1:28" ht="45">
      <c r="A63" s="215">
        <v>61</v>
      </c>
      <c r="B63" s="165" t="s">
        <v>224</v>
      </c>
      <c r="C63" s="204" t="s">
        <v>68</v>
      </c>
      <c r="D63" s="241" t="s">
        <v>175</v>
      </c>
      <c r="E63" s="216">
        <v>2401031</v>
      </c>
      <c r="F63" s="217" t="s">
        <v>337</v>
      </c>
      <c r="G63" s="160" t="s">
        <v>273</v>
      </c>
      <c r="H63" s="203" t="s">
        <v>124</v>
      </c>
      <c r="I63" s="205">
        <v>0.69399999999999995</v>
      </c>
      <c r="J63" s="246" t="s">
        <v>520</v>
      </c>
      <c r="K63" s="260">
        <v>4897170</v>
      </c>
      <c r="L63" s="206">
        <f t="shared" si="14"/>
        <v>2448585</v>
      </c>
      <c r="M63" s="207">
        <f t="shared" si="15"/>
        <v>2448585</v>
      </c>
      <c r="N63" s="218">
        <v>0.5</v>
      </c>
      <c r="O63" s="206">
        <v>0</v>
      </c>
      <c r="P63" s="206">
        <v>2448585</v>
      </c>
      <c r="Q63" s="260"/>
      <c r="R63" s="260"/>
      <c r="S63" s="260"/>
      <c r="T63" s="260"/>
      <c r="U63" s="260"/>
      <c r="V63" s="260"/>
      <c r="W63" s="260"/>
      <c r="X63" s="260"/>
      <c r="Y63" s="115" t="b">
        <f t="shared" si="8"/>
        <v>1</v>
      </c>
      <c r="Z63" s="117">
        <f t="shared" si="9"/>
        <v>0.5</v>
      </c>
      <c r="AA63" s="118" t="b">
        <f t="shared" si="10"/>
        <v>1</v>
      </c>
      <c r="AB63" s="118" t="b">
        <f t="shared" si="11"/>
        <v>1</v>
      </c>
    </row>
    <row r="64" spans="1:28" ht="30">
      <c r="A64" s="215">
        <v>62</v>
      </c>
      <c r="B64" s="165" t="s">
        <v>225</v>
      </c>
      <c r="C64" s="204" t="s">
        <v>68</v>
      </c>
      <c r="D64" s="241" t="s">
        <v>176</v>
      </c>
      <c r="E64" s="216">
        <v>2408031</v>
      </c>
      <c r="F64" s="217" t="s">
        <v>296</v>
      </c>
      <c r="G64" s="160" t="s">
        <v>274</v>
      </c>
      <c r="H64" s="203" t="s">
        <v>124</v>
      </c>
      <c r="I64" s="205">
        <v>0.21</v>
      </c>
      <c r="J64" s="246" t="s">
        <v>455</v>
      </c>
      <c r="K64" s="260">
        <v>231913</v>
      </c>
      <c r="L64" s="206">
        <f t="shared" si="14"/>
        <v>115956.5</v>
      </c>
      <c r="M64" s="207">
        <f t="shared" si="15"/>
        <v>115956.5</v>
      </c>
      <c r="N64" s="218">
        <v>0.5</v>
      </c>
      <c r="O64" s="206">
        <v>0</v>
      </c>
      <c r="P64" s="206">
        <v>115956.5</v>
      </c>
      <c r="Q64" s="260"/>
      <c r="R64" s="260"/>
      <c r="S64" s="260"/>
      <c r="T64" s="260"/>
      <c r="U64" s="260"/>
      <c r="V64" s="260"/>
      <c r="W64" s="260"/>
      <c r="X64" s="260"/>
      <c r="Y64" s="115" t="b">
        <f t="shared" si="8"/>
        <v>1</v>
      </c>
      <c r="Z64" s="117">
        <f t="shared" si="9"/>
        <v>0.5</v>
      </c>
      <c r="AA64" s="118" t="b">
        <f t="shared" si="10"/>
        <v>1</v>
      </c>
      <c r="AB64" s="118" t="b">
        <f t="shared" si="11"/>
        <v>1</v>
      </c>
    </row>
    <row r="65" spans="1:28" ht="30">
      <c r="A65" s="215">
        <v>63</v>
      </c>
      <c r="B65" s="165" t="s">
        <v>226</v>
      </c>
      <c r="C65" s="204" t="s">
        <v>68</v>
      </c>
      <c r="D65" s="241" t="s">
        <v>177</v>
      </c>
      <c r="E65" s="216">
        <v>2404132</v>
      </c>
      <c r="F65" s="217" t="s">
        <v>431</v>
      </c>
      <c r="G65" s="160" t="s">
        <v>275</v>
      </c>
      <c r="H65" s="203" t="s">
        <v>124</v>
      </c>
      <c r="I65" s="205">
        <v>0.39600000000000002</v>
      </c>
      <c r="J65" s="246" t="s">
        <v>415</v>
      </c>
      <c r="K65" s="260">
        <v>227817</v>
      </c>
      <c r="L65" s="206">
        <f t="shared" si="14"/>
        <v>113908.5</v>
      </c>
      <c r="M65" s="207">
        <f t="shared" si="15"/>
        <v>113908.5</v>
      </c>
      <c r="N65" s="218">
        <v>0.5</v>
      </c>
      <c r="O65" s="206">
        <v>0</v>
      </c>
      <c r="P65" s="206">
        <v>113908.5</v>
      </c>
      <c r="Q65" s="260"/>
      <c r="R65" s="260"/>
      <c r="S65" s="260"/>
      <c r="T65" s="260"/>
      <c r="U65" s="260"/>
      <c r="V65" s="260"/>
      <c r="W65" s="260"/>
      <c r="X65" s="260"/>
      <c r="Y65" s="115" t="b">
        <f t="shared" si="8"/>
        <v>1</v>
      </c>
      <c r="Z65" s="117">
        <f t="shared" si="9"/>
        <v>0.5</v>
      </c>
      <c r="AA65" s="118" t="b">
        <f t="shared" si="10"/>
        <v>1</v>
      </c>
      <c r="AB65" s="118" t="b">
        <f t="shared" si="11"/>
        <v>1</v>
      </c>
    </row>
    <row r="66" spans="1:28" ht="45">
      <c r="A66" s="215">
        <v>64</v>
      </c>
      <c r="B66" s="165" t="s">
        <v>227</v>
      </c>
      <c r="C66" s="204" t="s">
        <v>68</v>
      </c>
      <c r="D66" s="241" t="s">
        <v>178</v>
      </c>
      <c r="E66" s="216">
        <v>2416063</v>
      </c>
      <c r="F66" s="217" t="s">
        <v>313</v>
      </c>
      <c r="G66" s="160" t="s">
        <v>276</v>
      </c>
      <c r="H66" s="203" t="s">
        <v>124</v>
      </c>
      <c r="I66" s="205">
        <v>0.72699999999999998</v>
      </c>
      <c r="J66" s="246" t="s">
        <v>419</v>
      </c>
      <c r="K66" s="260">
        <v>1977262</v>
      </c>
      <c r="L66" s="206">
        <v>1482946</v>
      </c>
      <c r="M66" s="207">
        <v>494316</v>
      </c>
      <c r="N66" s="218">
        <v>0.75</v>
      </c>
      <c r="O66" s="206"/>
      <c r="P66" s="206">
        <v>1482946</v>
      </c>
      <c r="Q66" s="260"/>
      <c r="R66" s="260"/>
      <c r="S66" s="260"/>
      <c r="T66" s="260"/>
      <c r="U66" s="260"/>
      <c r="V66" s="260"/>
      <c r="W66" s="260"/>
      <c r="X66" s="260"/>
      <c r="Y66" s="115" t="b">
        <f t="shared" si="8"/>
        <v>1</v>
      </c>
      <c r="Z66" s="117">
        <f t="shared" si="9"/>
        <v>0.75</v>
      </c>
      <c r="AA66" s="118" t="b">
        <f t="shared" si="10"/>
        <v>1</v>
      </c>
      <c r="AB66" s="118" t="b">
        <f t="shared" si="11"/>
        <v>1</v>
      </c>
    </row>
    <row r="67" spans="1:28" ht="30">
      <c r="A67" s="215">
        <v>65</v>
      </c>
      <c r="B67" s="165" t="s">
        <v>228</v>
      </c>
      <c r="C67" s="204" t="s">
        <v>68</v>
      </c>
      <c r="D67" s="241" t="s">
        <v>179</v>
      </c>
      <c r="E67" s="216">
        <v>2407011</v>
      </c>
      <c r="F67" s="217" t="s">
        <v>429</v>
      </c>
      <c r="G67" s="160" t="s">
        <v>277</v>
      </c>
      <c r="H67" s="203" t="s">
        <v>124</v>
      </c>
      <c r="I67" s="205">
        <v>1.3560000000000001</v>
      </c>
      <c r="J67" s="246" t="s">
        <v>443</v>
      </c>
      <c r="K67" s="260">
        <v>3971335</v>
      </c>
      <c r="L67" s="206">
        <f>ROUND(K67*N67,2)</f>
        <v>1985667.5</v>
      </c>
      <c r="M67" s="207">
        <f>K67-L67</f>
        <v>1985667.5</v>
      </c>
      <c r="N67" s="218">
        <v>0.5</v>
      </c>
      <c r="O67" s="206">
        <v>0</v>
      </c>
      <c r="P67" s="206">
        <v>1985667.5</v>
      </c>
      <c r="Q67" s="260"/>
      <c r="R67" s="260"/>
      <c r="S67" s="260"/>
      <c r="T67" s="260"/>
      <c r="U67" s="260"/>
      <c r="V67" s="260"/>
      <c r="W67" s="260"/>
      <c r="X67" s="260"/>
      <c r="Y67" s="115" t="b">
        <f t="shared" si="8"/>
        <v>1</v>
      </c>
      <c r="Z67" s="117">
        <f t="shared" si="9"/>
        <v>0.5</v>
      </c>
      <c r="AA67" s="118" t="b">
        <f t="shared" si="10"/>
        <v>1</v>
      </c>
      <c r="AB67" s="118" t="b">
        <f t="shared" si="11"/>
        <v>1</v>
      </c>
    </row>
    <row r="68" spans="1:28" s="120" customFormat="1" ht="30">
      <c r="A68" s="215">
        <v>66</v>
      </c>
      <c r="B68" s="166" t="s">
        <v>501</v>
      </c>
      <c r="C68" s="223" t="s">
        <v>67</v>
      </c>
      <c r="D68" s="244" t="s">
        <v>484</v>
      </c>
      <c r="E68" s="455" t="s">
        <v>472</v>
      </c>
      <c r="F68" s="224" t="s">
        <v>299</v>
      </c>
      <c r="G68" s="451" t="s">
        <v>492</v>
      </c>
      <c r="H68" s="225" t="s">
        <v>124</v>
      </c>
      <c r="I68" s="226">
        <v>1.7849999999999999</v>
      </c>
      <c r="J68" s="248" t="s">
        <v>510</v>
      </c>
      <c r="K68" s="261">
        <v>6176115</v>
      </c>
      <c r="L68" s="212">
        <v>3088057.5</v>
      </c>
      <c r="M68" s="202">
        <v>3088057.5</v>
      </c>
      <c r="N68" s="227">
        <v>0.5</v>
      </c>
      <c r="O68" s="201">
        <v>0</v>
      </c>
      <c r="P68" s="212">
        <v>1492979.5</v>
      </c>
      <c r="Q68" s="261">
        <v>1595078</v>
      </c>
      <c r="R68" s="211"/>
      <c r="S68" s="211"/>
      <c r="T68" s="211"/>
      <c r="U68" s="211"/>
      <c r="V68" s="211"/>
      <c r="W68" s="211"/>
      <c r="X68" s="211"/>
      <c r="Y68" s="452"/>
      <c r="Z68" s="453"/>
      <c r="AA68" s="454"/>
      <c r="AB68" s="454"/>
    </row>
    <row r="69" spans="1:28" ht="30">
      <c r="A69" s="215">
        <v>67</v>
      </c>
      <c r="B69" s="165" t="s">
        <v>356</v>
      </c>
      <c r="C69" s="442" t="s">
        <v>68</v>
      </c>
      <c r="D69" s="241" t="s">
        <v>363</v>
      </c>
      <c r="E69" s="443">
        <v>2479011</v>
      </c>
      <c r="F69" s="444" t="s">
        <v>436</v>
      </c>
      <c r="G69" s="459" t="s">
        <v>370</v>
      </c>
      <c r="H69" s="445" t="s">
        <v>124</v>
      </c>
      <c r="I69" s="446">
        <v>2.7879999999999998</v>
      </c>
      <c r="J69" s="447" t="s">
        <v>466</v>
      </c>
      <c r="K69" s="448">
        <v>4146410</v>
      </c>
      <c r="L69" s="449">
        <v>3109807</v>
      </c>
      <c r="M69" s="207">
        <v>1036603</v>
      </c>
      <c r="N69" s="450">
        <v>0.75</v>
      </c>
      <c r="O69" s="206"/>
      <c r="P69" s="449">
        <v>3109807</v>
      </c>
      <c r="Q69" s="448"/>
      <c r="R69" s="260"/>
      <c r="S69" s="260"/>
      <c r="T69" s="260"/>
      <c r="U69" s="260"/>
      <c r="V69" s="260"/>
      <c r="W69" s="260"/>
      <c r="X69" s="260"/>
      <c r="Y69" s="115"/>
      <c r="Z69" s="117"/>
      <c r="AA69" s="118"/>
      <c r="AB69" s="118"/>
    </row>
    <row r="70" spans="1:28" ht="30">
      <c r="A70" s="215">
        <v>68</v>
      </c>
      <c r="B70" s="165" t="s">
        <v>185</v>
      </c>
      <c r="C70" s="442" t="s">
        <v>68</v>
      </c>
      <c r="D70" s="241" t="s">
        <v>144</v>
      </c>
      <c r="E70" s="460">
        <v>2403092</v>
      </c>
      <c r="F70" s="444" t="s">
        <v>427</v>
      </c>
      <c r="G70" s="456" t="s">
        <v>234</v>
      </c>
      <c r="H70" s="445" t="s">
        <v>122</v>
      </c>
      <c r="I70" s="446">
        <v>0.84799999999999998</v>
      </c>
      <c r="J70" s="447" t="s">
        <v>440</v>
      </c>
      <c r="K70" s="448">
        <v>9376434</v>
      </c>
      <c r="L70" s="449">
        <v>7032325</v>
      </c>
      <c r="M70" s="207">
        <v>2344109</v>
      </c>
      <c r="N70" s="450">
        <v>0.75</v>
      </c>
      <c r="O70" s="206"/>
      <c r="P70" s="449">
        <v>7032325</v>
      </c>
      <c r="Q70" s="448"/>
      <c r="R70" s="260"/>
      <c r="S70" s="260"/>
      <c r="T70" s="260"/>
      <c r="U70" s="260"/>
      <c r="V70" s="260"/>
      <c r="W70" s="260"/>
      <c r="X70" s="260"/>
      <c r="Y70" s="115"/>
      <c r="Z70" s="117"/>
      <c r="AA70" s="118"/>
      <c r="AB70" s="118"/>
    </row>
    <row r="71" spans="1:28" s="120" customFormat="1" ht="60">
      <c r="A71" s="213">
        <v>69</v>
      </c>
      <c r="B71" s="168" t="s">
        <v>346</v>
      </c>
      <c r="C71" s="223" t="s">
        <v>67</v>
      </c>
      <c r="D71" s="242" t="s">
        <v>349</v>
      </c>
      <c r="E71" s="441">
        <v>2478011</v>
      </c>
      <c r="F71" s="224" t="s">
        <v>348</v>
      </c>
      <c r="G71" s="121" t="s">
        <v>347</v>
      </c>
      <c r="H71" s="225" t="s">
        <v>122</v>
      </c>
      <c r="I71" s="226">
        <v>0.85099999999999998</v>
      </c>
      <c r="J71" s="248" t="s">
        <v>462</v>
      </c>
      <c r="K71" s="261">
        <v>7022716</v>
      </c>
      <c r="L71" s="212">
        <v>1092054.3799999999</v>
      </c>
      <c r="M71" s="202">
        <f>K71-L71</f>
        <v>5930661.6200000001</v>
      </c>
      <c r="N71" s="227">
        <v>0.5</v>
      </c>
      <c r="O71" s="201">
        <v>0</v>
      </c>
      <c r="P71" s="212">
        <v>38646.879999999997</v>
      </c>
      <c r="Q71" s="261">
        <v>1053407.5</v>
      </c>
      <c r="R71" s="211"/>
      <c r="S71" s="211"/>
      <c r="T71" s="211"/>
      <c r="U71" s="211"/>
      <c r="V71" s="211"/>
      <c r="W71" s="211"/>
      <c r="X71" s="211"/>
      <c r="Y71" s="115" t="b">
        <f t="shared" si="8"/>
        <v>1</v>
      </c>
      <c r="Z71" s="117">
        <f t="shared" si="9"/>
        <v>0.1555</v>
      </c>
      <c r="AA71" s="118" t="b">
        <f t="shared" si="10"/>
        <v>0</v>
      </c>
      <c r="AB71" s="118" t="b">
        <f t="shared" si="11"/>
        <v>1</v>
      </c>
    </row>
    <row r="72" spans="1:28" ht="20.100000000000001" customHeight="1">
      <c r="A72" s="497" t="s">
        <v>44</v>
      </c>
      <c r="B72" s="498"/>
      <c r="C72" s="498"/>
      <c r="D72" s="498"/>
      <c r="E72" s="498"/>
      <c r="F72" s="498"/>
      <c r="G72" s="498"/>
      <c r="H72" s="499"/>
      <c r="I72" s="233">
        <f>SUM(I3:I71)</f>
        <v>52.878000000000014</v>
      </c>
      <c r="J72" s="416" t="s">
        <v>14</v>
      </c>
      <c r="K72" s="207">
        <f>SUM(K3:K71)</f>
        <v>175154727.15000001</v>
      </c>
      <c r="L72" s="264">
        <f>SUM(L3:L71)</f>
        <v>99454624.549999982</v>
      </c>
      <c r="M72" s="264">
        <f>SUM(M3:M71)</f>
        <v>75700102.600000009</v>
      </c>
      <c r="N72" s="414" t="s">
        <v>14</v>
      </c>
      <c r="O72" s="264">
        <f>SUM(O3:O71)</f>
        <v>6092613.1999999993</v>
      </c>
      <c r="P72" s="264">
        <f t="shared" ref="P72:X72" si="16">SUM(P3:P71)</f>
        <v>68898122.399999991</v>
      </c>
      <c r="Q72" s="264">
        <f t="shared" si="16"/>
        <v>21264069.5</v>
      </c>
      <c r="R72" s="264">
        <f t="shared" si="16"/>
        <v>3199819.4499999997</v>
      </c>
      <c r="S72" s="264">
        <f t="shared" si="16"/>
        <v>0</v>
      </c>
      <c r="T72" s="264">
        <f t="shared" si="16"/>
        <v>0</v>
      </c>
      <c r="U72" s="264">
        <f t="shared" si="16"/>
        <v>0</v>
      </c>
      <c r="V72" s="264">
        <f t="shared" si="16"/>
        <v>0</v>
      </c>
      <c r="W72" s="264">
        <f t="shared" si="16"/>
        <v>0</v>
      </c>
      <c r="X72" s="264">
        <f t="shared" si="16"/>
        <v>0</v>
      </c>
      <c r="Y72" s="115" t="b">
        <f t="shared" ref="Y72:Y75" si="17">L72=SUM(O72:X72)</f>
        <v>1</v>
      </c>
      <c r="Z72" s="117">
        <f t="shared" ref="Z72:Z75" si="18">ROUND(L72/K72,4)</f>
        <v>0.56779999999999997</v>
      </c>
      <c r="AA72" s="118" t="b">
        <f t="shared" ref="AA72:AA75" si="19">Z72=N72</f>
        <v>0</v>
      </c>
      <c r="AB72" s="118" t="b">
        <f t="shared" ref="AB72:AB75" si="20">K72=L72+M72</f>
        <v>1</v>
      </c>
    </row>
    <row r="73" spans="1:28" s="120" customFormat="1" ht="20.100000000000001" customHeight="1">
      <c r="A73" s="494" t="s">
        <v>37</v>
      </c>
      <c r="B73" s="495"/>
      <c r="C73" s="495"/>
      <c r="D73" s="495"/>
      <c r="E73" s="495"/>
      <c r="F73" s="495"/>
      <c r="G73" s="495"/>
      <c r="H73" s="496"/>
      <c r="I73" s="234">
        <f>SUMIF($C$3:$C$71,"K",I3:I71)</f>
        <v>18.040999999999997</v>
      </c>
      <c r="J73" s="417" t="s">
        <v>14</v>
      </c>
      <c r="K73" s="202">
        <f>SUMIF($C$3:$C$71,"K",K3:K71)</f>
        <v>60324682.149999999</v>
      </c>
      <c r="L73" s="265">
        <f>SUMIF($C$3:$C$71,"K",L3:L71)</f>
        <v>35128190.619999997</v>
      </c>
      <c r="M73" s="265">
        <f>SUMIF($C$3:$C$71,"K",M3:M71)</f>
        <v>25196491.530000005</v>
      </c>
      <c r="N73" s="415" t="s">
        <v>14</v>
      </c>
      <c r="O73" s="265">
        <f>SUMIF($C$3:$C$71,"K",O3:O71)</f>
        <v>6092613.1999999993</v>
      </c>
      <c r="P73" s="265">
        <f t="shared" ref="P73:X73" si="21">SUMIF($C$3:$C$71,"K",P3:P71)</f>
        <v>14409782.619999999</v>
      </c>
      <c r="Q73" s="265">
        <f t="shared" si="21"/>
        <v>11890289.200000001</v>
      </c>
      <c r="R73" s="265">
        <f t="shared" si="21"/>
        <v>2735505.5999999996</v>
      </c>
      <c r="S73" s="265">
        <f t="shared" si="21"/>
        <v>0</v>
      </c>
      <c r="T73" s="265">
        <f t="shared" si="21"/>
        <v>0</v>
      </c>
      <c r="U73" s="265">
        <f t="shared" si="21"/>
        <v>0</v>
      </c>
      <c r="V73" s="265">
        <f t="shared" si="21"/>
        <v>0</v>
      </c>
      <c r="W73" s="265">
        <f t="shared" si="21"/>
        <v>0</v>
      </c>
      <c r="X73" s="265">
        <f t="shared" si="21"/>
        <v>0</v>
      </c>
      <c r="Y73" s="115" t="b">
        <f t="shared" si="17"/>
        <v>1</v>
      </c>
      <c r="Z73" s="117">
        <f t="shared" si="18"/>
        <v>0.58230000000000004</v>
      </c>
      <c r="AA73" s="118" t="b">
        <f t="shared" si="19"/>
        <v>0</v>
      </c>
      <c r="AB73" s="118" t="b">
        <f t="shared" si="20"/>
        <v>1</v>
      </c>
    </row>
    <row r="74" spans="1:28" ht="20.100000000000001" customHeight="1">
      <c r="A74" s="497" t="s">
        <v>38</v>
      </c>
      <c r="B74" s="498"/>
      <c r="C74" s="498"/>
      <c r="D74" s="498"/>
      <c r="E74" s="498"/>
      <c r="F74" s="498"/>
      <c r="G74" s="498"/>
      <c r="H74" s="499"/>
      <c r="I74" s="233">
        <f>SUMIF($C$3:$C$71,"N",I3:I71)</f>
        <v>27.811</v>
      </c>
      <c r="J74" s="416" t="s">
        <v>14</v>
      </c>
      <c r="K74" s="207">
        <f>SUMIF($C$3:$C$71,"N",K3:K71)</f>
        <v>76189453</v>
      </c>
      <c r="L74" s="264">
        <f>SUMIF($C$3:$C$71,"N",L3:L71)</f>
        <v>46956727.700000003</v>
      </c>
      <c r="M74" s="264">
        <f>SUMIF($C$3:$C$71,"N",M3:M71)</f>
        <v>29232725.299999997</v>
      </c>
      <c r="N74" s="414" t="s">
        <v>14</v>
      </c>
      <c r="O74" s="264">
        <f>SUMIF($C$3:$C$71,"N",O3:O71)</f>
        <v>0</v>
      </c>
      <c r="P74" s="264">
        <f t="shared" ref="P74:X74" si="22">SUMIF($C$3:$C$71,"N",P3:P71)</f>
        <v>46956727.700000003</v>
      </c>
      <c r="Q74" s="264">
        <f t="shared" si="22"/>
        <v>0</v>
      </c>
      <c r="R74" s="264">
        <f t="shared" si="22"/>
        <v>0</v>
      </c>
      <c r="S74" s="264">
        <f t="shared" si="22"/>
        <v>0</v>
      </c>
      <c r="T74" s="264">
        <f t="shared" si="22"/>
        <v>0</v>
      </c>
      <c r="U74" s="264">
        <f t="shared" si="22"/>
        <v>0</v>
      </c>
      <c r="V74" s="264">
        <f t="shared" si="22"/>
        <v>0</v>
      </c>
      <c r="W74" s="264">
        <f t="shared" si="22"/>
        <v>0</v>
      </c>
      <c r="X74" s="264">
        <f t="shared" si="22"/>
        <v>0</v>
      </c>
      <c r="Y74" s="115" t="b">
        <f t="shared" si="17"/>
        <v>1</v>
      </c>
      <c r="Z74" s="117">
        <f t="shared" si="18"/>
        <v>0.61629999999999996</v>
      </c>
      <c r="AA74" s="118" t="b">
        <f t="shared" si="19"/>
        <v>0</v>
      </c>
      <c r="AB74" s="118" t="b">
        <f t="shared" si="20"/>
        <v>1</v>
      </c>
    </row>
    <row r="75" spans="1:28" s="120" customFormat="1" ht="20.100000000000001" customHeight="1">
      <c r="A75" s="494" t="s">
        <v>39</v>
      </c>
      <c r="B75" s="495"/>
      <c r="C75" s="495"/>
      <c r="D75" s="495"/>
      <c r="E75" s="495"/>
      <c r="F75" s="495"/>
      <c r="G75" s="495"/>
      <c r="H75" s="496"/>
      <c r="I75" s="234">
        <f>SUMIF($C$3:$C$71,"W",I3:I71)</f>
        <v>7.0260000000000007</v>
      </c>
      <c r="J75" s="417" t="s">
        <v>14</v>
      </c>
      <c r="K75" s="202">
        <f>SUMIF($C$3:$C$71,"W",K3:K71)</f>
        <v>38640592</v>
      </c>
      <c r="L75" s="265">
        <f>SUMIF($C$3:$C$71,"W",L3:L71)</f>
        <v>17369706.23</v>
      </c>
      <c r="M75" s="265">
        <f>SUMIF($C$3:$C$71,"W",M3:M71)</f>
        <v>21270885.77</v>
      </c>
      <c r="N75" s="415" t="s">
        <v>14</v>
      </c>
      <c r="O75" s="265">
        <f>SUMIF($C$3:$C$71,"W",O3:O71)</f>
        <v>0</v>
      </c>
      <c r="P75" s="265">
        <f t="shared" ref="P75:X75" si="23">SUMIF($C$3:$C$71,"W",P3:P71)</f>
        <v>7531612.0800000001</v>
      </c>
      <c r="Q75" s="265">
        <f t="shared" si="23"/>
        <v>9373780.3000000007</v>
      </c>
      <c r="R75" s="265">
        <f t="shared" si="23"/>
        <v>464313.85</v>
      </c>
      <c r="S75" s="265">
        <f t="shared" si="23"/>
        <v>0</v>
      </c>
      <c r="T75" s="265">
        <f t="shared" si="23"/>
        <v>0</v>
      </c>
      <c r="U75" s="265">
        <f t="shared" si="23"/>
        <v>0</v>
      </c>
      <c r="V75" s="265">
        <f t="shared" si="23"/>
        <v>0</v>
      </c>
      <c r="W75" s="265">
        <f t="shared" si="23"/>
        <v>0</v>
      </c>
      <c r="X75" s="265">
        <f t="shared" si="23"/>
        <v>0</v>
      </c>
      <c r="Y75" s="115" t="b">
        <f t="shared" si="17"/>
        <v>1</v>
      </c>
      <c r="Z75" s="117">
        <f t="shared" si="18"/>
        <v>0.44950000000000001</v>
      </c>
      <c r="AA75" s="118" t="b">
        <f t="shared" si="19"/>
        <v>0</v>
      </c>
      <c r="AB75" s="118" t="b">
        <f t="shared" si="20"/>
        <v>1</v>
      </c>
    </row>
    <row r="76" spans="1:28" ht="15">
      <c r="A76" s="35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</row>
    <row r="77" spans="1:28">
      <c r="A77" s="357" t="s">
        <v>24</v>
      </c>
      <c r="X77" s="250"/>
    </row>
    <row r="78" spans="1:28">
      <c r="A78" s="358" t="s">
        <v>25</v>
      </c>
      <c r="X78" s="250"/>
    </row>
    <row r="79" spans="1:28">
      <c r="A79" s="357" t="s">
        <v>42</v>
      </c>
      <c r="X79" s="250"/>
    </row>
    <row r="80" spans="1:28">
      <c r="A80" s="359" t="s">
        <v>28</v>
      </c>
      <c r="X80" s="250"/>
    </row>
    <row r="81" spans="1:25">
      <c r="A81" s="356"/>
      <c r="O81" s="250"/>
      <c r="P81" s="250"/>
      <c r="Q81" s="251"/>
      <c r="R81" s="250"/>
      <c r="S81" s="250"/>
      <c r="T81" s="250"/>
      <c r="U81" s="250"/>
      <c r="V81" s="250"/>
      <c r="W81" s="250"/>
      <c r="Y81" s="252"/>
    </row>
    <row r="82" spans="1:25">
      <c r="O82" s="250"/>
      <c r="P82" s="250"/>
      <c r="Q82" s="251"/>
      <c r="R82" s="250"/>
      <c r="S82" s="250"/>
      <c r="T82" s="250"/>
      <c r="U82" s="250"/>
      <c r="V82" s="250"/>
      <c r="W82" s="250"/>
      <c r="Y82" s="252"/>
    </row>
    <row r="83" spans="1:25">
      <c r="O83" s="250"/>
      <c r="P83" s="250"/>
      <c r="Q83" s="251"/>
      <c r="R83" s="250"/>
      <c r="S83" s="250"/>
      <c r="T83" s="250"/>
      <c r="U83" s="250"/>
      <c r="V83" s="250"/>
      <c r="W83" s="250"/>
      <c r="Y83" s="252"/>
    </row>
    <row r="84" spans="1:25">
      <c r="O84" s="250"/>
      <c r="P84" s="250"/>
      <c r="Q84" s="251"/>
      <c r="R84" s="250"/>
      <c r="S84" s="250"/>
      <c r="T84" s="250"/>
      <c r="U84" s="250"/>
      <c r="V84" s="250"/>
      <c r="W84" s="250"/>
      <c r="Y84" s="252"/>
    </row>
    <row r="85" spans="1:25">
      <c r="O85" s="250"/>
      <c r="P85" s="250"/>
      <c r="Q85" s="251"/>
      <c r="R85" s="250"/>
      <c r="S85" s="250"/>
      <c r="T85" s="250"/>
      <c r="U85" s="250"/>
      <c r="V85" s="250"/>
      <c r="W85" s="250"/>
      <c r="Y85" s="252"/>
    </row>
    <row r="86" spans="1:25">
      <c r="O86" s="250"/>
      <c r="P86" s="250"/>
      <c r="Q86" s="251"/>
      <c r="R86" s="250"/>
      <c r="S86" s="250"/>
      <c r="T86" s="250"/>
      <c r="U86" s="250"/>
      <c r="V86" s="250"/>
      <c r="W86" s="250"/>
      <c r="Y86" s="252"/>
    </row>
    <row r="87" spans="1:25">
      <c r="O87" s="250"/>
      <c r="P87" s="250"/>
      <c r="Q87" s="251"/>
      <c r="R87" s="250"/>
      <c r="S87" s="250"/>
      <c r="T87" s="250"/>
      <c r="U87" s="250"/>
      <c r="V87" s="250"/>
      <c r="W87" s="250"/>
      <c r="Y87" s="252"/>
    </row>
    <row r="88" spans="1:25">
      <c r="O88" s="250"/>
      <c r="P88" s="250"/>
      <c r="Q88" s="251"/>
      <c r="R88" s="250"/>
      <c r="S88" s="250"/>
      <c r="T88" s="250"/>
      <c r="U88" s="250"/>
      <c r="V88" s="250"/>
      <c r="W88" s="250"/>
      <c r="Y88" s="252"/>
    </row>
    <row r="89" spans="1:25">
      <c r="O89" s="250"/>
      <c r="P89" s="250"/>
      <c r="Q89" s="251"/>
      <c r="R89" s="250"/>
      <c r="S89" s="250"/>
      <c r="T89" s="250"/>
      <c r="U89" s="250"/>
      <c r="V89" s="250"/>
      <c r="W89" s="250"/>
      <c r="Y89" s="252"/>
    </row>
  </sheetData>
  <mergeCells count="19">
    <mergeCell ref="O1:X1"/>
    <mergeCell ref="L1:L2"/>
    <mergeCell ref="M1:M2"/>
    <mergeCell ref="A72:H72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75:H75"/>
    <mergeCell ref="A74:H74"/>
    <mergeCell ref="E1:E2"/>
    <mergeCell ref="A73:H73"/>
    <mergeCell ref="N1:N2"/>
  </mergeCells>
  <conditionalFormatting sqref="Y3:AB75">
    <cfRule type="cellIs" dxfId="52" priority="38" operator="equal">
      <formula>FALSE</formula>
    </cfRule>
  </conditionalFormatting>
  <conditionalFormatting sqref="Y3:AA75">
    <cfRule type="containsText" dxfId="51" priority="36" operator="containsText" text="fałsz">
      <formula>NOT(ISERROR(SEARCH("fałsz",Y3)))</formula>
    </cfRule>
  </conditionalFormatting>
  <conditionalFormatting sqref="G68">
    <cfRule type="duplicateValues" dxfId="50" priority="1"/>
  </conditionalFormatting>
  <dataValidations count="4">
    <dataValidation type="custom" allowBlank="1" showInputMessage="1" showErrorMessage="1" sqref="H3:H19 D69:D70 B3:B70 D3:D67 G20:G67 G69 G71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0"/>
  <sheetViews>
    <sheetView showGridLines="0" view="pageBreakPreview" zoomScaleNormal="78" zoomScaleSheetLayoutView="100" workbookViewId="0">
      <selection activeCell="H15" sqref="H15"/>
    </sheetView>
  </sheetViews>
  <sheetFormatPr defaultColWidth="9.140625" defaultRowHeight="15"/>
  <cols>
    <col min="1" max="1" width="5.140625" style="173" customWidth="1"/>
    <col min="2" max="2" width="10.28515625" style="171" customWidth="1"/>
    <col min="3" max="3" width="11.42578125" style="171" customWidth="1"/>
    <col min="4" max="4" width="19" style="171" customWidth="1"/>
    <col min="5" max="5" width="11.42578125" style="171" customWidth="1"/>
    <col min="6" max="6" width="53.85546875" style="33" customWidth="1"/>
    <col min="7" max="7" width="9.5703125" style="171" customWidth="1"/>
    <col min="8" max="8" width="12" style="33" customWidth="1"/>
    <col min="9" max="10" width="15.7109375" style="171" customWidth="1"/>
    <col min="11" max="11" width="16.7109375" style="33" customWidth="1"/>
    <col min="12" max="12" width="15.7109375" style="33" customWidth="1"/>
    <col min="13" max="13" width="12.5703125" style="173" customWidth="1"/>
    <col min="14" max="14" width="14.5703125" style="33" customWidth="1"/>
    <col min="15" max="22" width="15.7109375" style="33" customWidth="1"/>
    <col min="23" max="23" width="15.7109375" style="255" customWidth="1"/>
    <col min="24" max="27" width="15.7109375" style="33" customWidth="1"/>
    <col min="28" max="16384" width="9.140625" style="33"/>
  </cols>
  <sheetData>
    <row r="1" spans="1:28" s="253" customFormat="1" ht="20.100000000000001" customHeight="1">
      <c r="A1" s="509" t="s">
        <v>4</v>
      </c>
      <c r="B1" s="509" t="s">
        <v>5</v>
      </c>
      <c r="C1" s="510" t="s">
        <v>525</v>
      </c>
      <c r="D1" s="512" t="s">
        <v>6</v>
      </c>
      <c r="E1" s="510" t="s">
        <v>33</v>
      </c>
      <c r="F1" s="512" t="s">
        <v>7</v>
      </c>
      <c r="G1" s="509" t="s">
        <v>26</v>
      </c>
      <c r="H1" s="509" t="s">
        <v>8</v>
      </c>
      <c r="I1" s="509" t="s">
        <v>23</v>
      </c>
      <c r="J1" s="509" t="s">
        <v>9</v>
      </c>
      <c r="K1" s="509" t="s">
        <v>10</v>
      </c>
      <c r="L1" s="512" t="s">
        <v>13</v>
      </c>
      <c r="M1" s="509" t="s">
        <v>11</v>
      </c>
      <c r="N1" s="509" t="s">
        <v>12</v>
      </c>
      <c r="O1" s="509"/>
      <c r="P1" s="509"/>
      <c r="Q1" s="509"/>
      <c r="R1" s="509"/>
      <c r="S1" s="509"/>
      <c r="T1" s="509"/>
      <c r="U1" s="509"/>
      <c r="V1" s="509"/>
      <c r="W1" s="509"/>
    </row>
    <row r="2" spans="1:28" s="253" customFormat="1" ht="20.100000000000001" customHeight="1">
      <c r="A2" s="509"/>
      <c r="B2" s="509"/>
      <c r="C2" s="511"/>
      <c r="D2" s="513"/>
      <c r="E2" s="511"/>
      <c r="F2" s="513"/>
      <c r="G2" s="509"/>
      <c r="H2" s="509"/>
      <c r="I2" s="509"/>
      <c r="J2" s="509"/>
      <c r="K2" s="509"/>
      <c r="L2" s="513"/>
      <c r="M2" s="509"/>
      <c r="N2" s="256">
        <v>2019</v>
      </c>
      <c r="O2" s="256">
        <v>2020</v>
      </c>
      <c r="P2" s="256">
        <v>2021</v>
      </c>
      <c r="Q2" s="256">
        <v>2022</v>
      </c>
      <c r="R2" s="256">
        <v>2023</v>
      </c>
      <c r="S2" s="256">
        <v>2024</v>
      </c>
      <c r="T2" s="256">
        <v>2025</v>
      </c>
      <c r="U2" s="256">
        <v>2026</v>
      </c>
      <c r="V2" s="256">
        <v>2027</v>
      </c>
      <c r="W2" s="256">
        <v>2028</v>
      </c>
      <c r="X2" s="173" t="s">
        <v>29</v>
      </c>
      <c r="Y2" s="173" t="s">
        <v>30</v>
      </c>
      <c r="Z2" s="173" t="s">
        <v>31</v>
      </c>
      <c r="AA2" s="254" t="s">
        <v>32</v>
      </c>
    </row>
    <row r="3" spans="1:28" s="182" customFormat="1" ht="58.9" customHeight="1">
      <c r="A3" s="134">
        <v>1</v>
      </c>
      <c r="B3" s="133" t="s">
        <v>372</v>
      </c>
      <c r="C3" s="146" t="s">
        <v>67</v>
      </c>
      <c r="D3" s="133" t="s">
        <v>72</v>
      </c>
      <c r="E3" s="144">
        <v>2411</v>
      </c>
      <c r="F3" s="271" t="s">
        <v>383</v>
      </c>
      <c r="G3" s="133" t="s">
        <v>124</v>
      </c>
      <c r="H3" s="418">
        <v>3.9260000000000002</v>
      </c>
      <c r="I3" s="346" t="s">
        <v>413</v>
      </c>
      <c r="J3" s="177">
        <v>8822283</v>
      </c>
      <c r="K3" s="131">
        <f t="shared" ref="K3:K10" si="0">ROUND(J3*M3,2)</f>
        <v>4852255.6500000004</v>
      </c>
      <c r="L3" s="132">
        <f t="shared" ref="L3:L10" si="1">J3-K3</f>
        <v>3970027.3499999996</v>
      </c>
      <c r="M3" s="153">
        <v>0.55000000000000004</v>
      </c>
      <c r="N3" s="131">
        <v>0</v>
      </c>
      <c r="O3" s="131">
        <v>3190000.0000000005</v>
      </c>
      <c r="P3" s="132">
        <v>1662255.6500000001</v>
      </c>
      <c r="Q3" s="132"/>
      <c r="R3" s="132"/>
      <c r="S3" s="132"/>
      <c r="T3" s="132"/>
      <c r="U3" s="132"/>
      <c r="V3" s="132"/>
      <c r="W3" s="132"/>
      <c r="X3" s="178" t="b">
        <f t="shared" ref="X3" si="2">K3=SUM(N3:W3)</f>
        <v>1</v>
      </c>
      <c r="Y3" s="179">
        <f t="shared" ref="Y3:Y6" si="3">ROUND(K3/J3,4)</f>
        <v>0.55000000000000004</v>
      </c>
      <c r="Z3" s="180" t="b">
        <f t="shared" ref="Z3:Z6" si="4">Y3=M3</f>
        <v>1</v>
      </c>
      <c r="AA3" s="180" t="b">
        <f t="shared" ref="AA3:AA6" si="5">J3=K3+L3</f>
        <v>1</v>
      </c>
      <c r="AB3" s="181"/>
    </row>
    <row r="4" spans="1:28" s="182" customFormat="1" ht="24">
      <c r="A4" s="134">
        <v>2</v>
      </c>
      <c r="B4" s="133" t="s">
        <v>373</v>
      </c>
      <c r="C4" s="146" t="s">
        <v>67</v>
      </c>
      <c r="D4" s="133" t="s">
        <v>106</v>
      </c>
      <c r="E4" s="144">
        <v>2463011</v>
      </c>
      <c r="F4" s="271" t="s">
        <v>384</v>
      </c>
      <c r="G4" s="133" t="s">
        <v>124</v>
      </c>
      <c r="H4" s="418">
        <v>1.1830000000000001</v>
      </c>
      <c r="I4" s="346" t="s">
        <v>437</v>
      </c>
      <c r="J4" s="177">
        <v>7132128</v>
      </c>
      <c r="K4" s="131">
        <f t="shared" si="0"/>
        <v>3566064</v>
      </c>
      <c r="L4" s="132">
        <f t="shared" si="1"/>
        <v>3566064</v>
      </c>
      <c r="M4" s="153">
        <v>0.5</v>
      </c>
      <c r="N4" s="131">
        <v>0</v>
      </c>
      <c r="O4" s="132">
        <v>1750000</v>
      </c>
      <c r="P4" s="132">
        <v>1816064</v>
      </c>
      <c r="Q4" s="132"/>
      <c r="R4" s="132"/>
      <c r="S4" s="132"/>
      <c r="T4" s="132"/>
      <c r="U4" s="132"/>
      <c r="V4" s="132"/>
      <c r="W4" s="132"/>
      <c r="X4" s="178" t="b">
        <f t="shared" ref="X4" si="6">K4=SUM(N4:W4)</f>
        <v>1</v>
      </c>
      <c r="Y4" s="179">
        <f t="shared" si="3"/>
        <v>0.5</v>
      </c>
      <c r="Z4" s="180" t="b">
        <f t="shared" si="4"/>
        <v>1</v>
      </c>
      <c r="AA4" s="180" t="b">
        <f t="shared" si="5"/>
        <v>1</v>
      </c>
      <c r="AB4" s="181"/>
    </row>
    <row r="5" spans="1:28" s="182" customFormat="1" ht="36">
      <c r="A5" s="134">
        <v>3</v>
      </c>
      <c r="B5" s="133" t="s">
        <v>374</v>
      </c>
      <c r="C5" s="146" t="s">
        <v>67</v>
      </c>
      <c r="D5" s="133" t="s">
        <v>381</v>
      </c>
      <c r="E5" s="144">
        <v>2475011</v>
      </c>
      <c r="F5" s="271" t="s">
        <v>385</v>
      </c>
      <c r="G5" s="133" t="s">
        <v>124</v>
      </c>
      <c r="H5" s="418">
        <v>0.63600000000000001</v>
      </c>
      <c r="I5" s="346" t="s">
        <v>438</v>
      </c>
      <c r="J5" s="177">
        <v>10179273</v>
      </c>
      <c r="K5" s="131">
        <f t="shared" si="0"/>
        <v>5089636.5</v>
      </c>
      <c r="L5" s="132">
        <f t="shared" si="1"/>
        <v>5089636.5</v>
      </c>
      <c r="M5" s="153">
        <v>0.5</v>
      </c>
      <c r="N5" s="131">
        <v>0</v>
      </c>
      <c r="O5" s="131">
        <v>3053782</v>
      </c>
      <c r="P5" s="132">
        <v>2035854.5</v>
      </c>
      <c r="Q5" s="132"/>
      <c r="R5" s="132"/>
      <c r="S5" s="132"/>
      <c r="T5" s="132"/>
      <c r="U5" s="132"/>
      <c r="V5" s="132"/>
      <c r="W5" s="132"/>
      <c r="X5" s="178" t="b">
        <f t="shared" ref="X5" si="7">K5=SUM(N5:W5)</f>
        <v>1</v>
      </c>
      <c r="Y5" s="179">
        <f t="shared" si="3"/>
        <v>0.5</v>
      </c>
      <c r="Z5" s="180" t="b">
        <f t="shared" si="4"/>
        <v>1</v>
      </c>
      <c r="AA5" s="180" t="b">
        <f t="shared" si="5"/>
        <v>1</v>
      </c>
      <c r="AB5" s="181"/>
    </row>
    <row r="6" spans="1:28" s="188" customFormat="1" ht="24">
      <c r="A6" s="134">
        <v>4</v>
      </c>
      <c r="B6" s="183" t="s">
        <v>375</v>
      </c>
      <c r="C6" s="134" t="s">
        <v>68</v>
      </c>
      <c r="D6" s="183" t="s">
        <v>77</v>
      </c>
      <c r="E6" s="158">
        <v>2413</v>
      </c>
      <c r="F6" s="272" t="s">
        <v>386</v>
      </c>
      <c r="G6" s="134" t="s">
        <v>124</v>
      </c>
      <c r="H6" s="419">
        <v>2.4649999999999999</v>
      </c>
      <c r="I6" s="347" t="s">
        <v>408</v>
      </c>
      <c r="J6" s="184">
        <v>5876000</v>
      </c>
      <c r="K6" s="41">
        <f t="shared" si="0"/>
        <v>2938000</v>
      </c>
      <c r="L6" s="42">
        <f t="shared" si="1"/>
        <v>2938000</v>
      </c>
      <c r="M6" s="174">
        <v>0.5</v>
      </c>
      <c r="N6" s="41">
        <v>0</v>
      </c>
      <c r="O6" s="42">
        <v>2938000</v>
      </c>
      <c r="P6" s="42"/>
      <c r="Q6" s="42"/>
      <c r="R6" s="42"/>
      <c r="S6" s="42"/>
      <c r="T6" s="42"/>
      <c r="U6" s="42"/>
      <c r="V6" s="42"/>
      <c r="W6" s="42"/>
      <c r="X6" s="176" t="b">
        <f t="shared" ref="X6" si="8">K6=SUM(N6:W6)</f>
        <v>1</v>
      </c>
      <c r="Y6" s="185">
        <f t="shared" si="3"/>
        <v>0.5</v>
      </c>
      <c r="Z6" s="186" t="b">
        <f t="shared" si="4"/>
        <v>1</v>
      </c>
      <c r="AA6" s="186" t="b">
        <f t="shared" si="5"/>
        <v>1</v>
      </c>
      <c r="AB6" s="187"/>
    </row>
    <row r="7" spans="1:28" s="188" customFormat="1" ht="24">
      <c r="A7" s="134">
        <v>5</v>
      </c>
      <c r="B7" s="183" t="s">
        <v>376</v>
      </c>
      <c r="C7" s="134" t="s">
        <v>68</v>
      </c>
      <c r="D7" s="183" t="s">
        <v>382</v>
      </c>
      <c r="E7" s="158">
        <v>2401</v>
      </c>
      <c r="F7" s="272" t="s">
        <v>387</v>
      </c>
      <c r="G7" s="134" t="s">
        <v>124</v>
      </c>
      <c r="H7" s="419">
        <v>0.45900000000000002</v>
      </c>
      <c r="I7" s="347" t="s">
        <v>440</v>
      </c>
      <c r="J7" s="184">
        <v>3000000</v>
      </c>
      <c r="K7" s="41">
        <f t="shared" si="0"/>
        <v>1650000</v>
      </c>
      <c r="L7" s="42">
        <f t="shared" si="1"/>
        <v>1350000</v>
      </c>
      <c r="M7" s="174">
        <v>0.55000000000000004</v>
      </c>
      <c r="N7" s="41">
        <v>0</v>
      </c>
      <c r="O7" s="41">
        <v>1650000</v>
      </c>
      <c r="P7" s="42"/>
      <c r="Q7" s="42"/>
      <c r="R7" s="42"/>
      <c r="S7" s="42"/>
      <c r="T7" s="42"/>
      <c r="U7" s="42"/>
      <c r="V7" s="42"/>
      <c r="W7" s="42"/>
      <c r="X7" s="176" t="b">
        <f t="shared" ref="X7" si="9">K7=SUM(N7:W7)</f>
        <v>1</v>
      </c>
      <c r="Y7" s="185">
        <f t="shared" ref="Y7:Y9" si="10">ROUND(K7/J7,4)</f>
        <v>0.55000000000000004</v>
      </c>
      <c r="Z7" s="186" t="b">
        <f t="shared" ref="Z7:Z9" si="11">Y7=M7</f>
        <v>1</v>
      </c>
      <c r="AA7" s="186" t="b">
        <f t="shared" ref="AA7:AA9" si="12">J7=K7+L7</f>
        <v>1</v>
      </c>
      <c r="AB7" s="187"/>
    </row>
    <row r="8" spans="1:28" s="188" customFormat="1" ht="24">
      <c r="A8" s="134">
        <v>6</v>
      </c>
      <c r="B8" s="183" t="s">
        <v>377</v>
      </c>
      <c r="C8" s="134" t="s">
        <v>68</v>
      </c>
      <c r="D8" s="183" t="s">
        <v>102</v>
      </c>
      <c r="E8" s="158">
        <v>2404</v>
      </c>
      <c r="F8" s="272" t="s">
        <v>388</v>
      </c>
      <c r="G8" s="134" t="s">
        <v>124</v>
      </c>
      <c r="H8" s="419">
        <v>3.0289999999999999</v>
      </c>
      <c r="I8" s="347" t="s">
        <v>441</v>
      </c>
      <c r="J8" s="184">
        <v>6150000</v>
      </c>
      <c r="K8" s="41">
        <f t="shared" si="0"/>
        <v>3075000</v>
      </c>
      <c r="L8" s="42">
        <f t="shared" si="1"/>
        <v>3075000</v>
      </c>
      <c r="M8" s="174">
        <v>0.5</v>
      </c>
      <c r="N8" s="41">
        <v>0</v>
      </c>
      <c r="O8" s="42">
        <v>3075000</v>
      </c>
      <c r="P8" s="42"/>
      <c r="Q8" s="42"/>
      <c r="R8" s="42"/>
      <c r="S8" s="42"/>
      <c r="T8" s="42"/>
      <c r="U8" s="42"/>
      <c r="V8" s="42"/>
      <c r="W8" s="42"/>
      <c r="X8" s="176" t="b">
        <f t="shared" ref="X8:X9" si="13">K8=SUM(N8:W8)</f>
        <v>1</v>
      </c>
      <c r="Y8" s="185">
        <f t="shared" si="10"/>
        <v>0.5</v>
      </c>
      <c r="Z8" s="186" t="b">
        <f t="shared" si="11"/>
        <v>1</v>
      </c>
      <c r="AA8" s="186" t="b">
        <f t="shared" si="12"/>
        <v>1</v>
      </c>
      <c r="AB8" s="187"/>
    </row>
    <row r="9" spans="1:28" s="188" customFormat="1" ht="24">
      <c r="A9" s="134">
        <v>7</v>
      </c>
      <c r="B9" s="183" t="s">
        <v>378</v>
      </c>
      <c r="C9" s="134" t="s">
        <v>68</v>
      </c>
      <c r="D9" s="183" t="s">
        <v>381</v>
      </c>
      <c r="E9" s="158">
        <v>2475011</v>
      </c>
      <c r="F9" s="272" t="s">
        <v>389</v>
      </c>
      <c r="G9" s="134" t="s">
        <v>124</v>
      </c>
      <c r="H9" s="419">
        <v>1.6879999999999999</v>
      </c>
      <c r="I9" s="347" t="s">
        <v>439</v>
      </c>
      <c r="J9" s="184">
        <v>9182604</v>
      </c>
      <c r="K9" s="41">
        <f t="shared" si="0"/>
        <v>4591302</v>
      </c>
      <c r="L9" s="42">
        <f t="shared" si="1"/>
        <v>4591302</v>
      </c>
      <c r="M9" s="174">
        <v>0.5</v>
      </c>
      <c r="N9" s="41">
        <v>0</v>
      </c>
      <c r="O9" s="42">
        <v>4591302</v>
      </c>
      <c r="P9" s="42"/>
      <c r="Q9" s="42"/>
      <c r="R9" s="42"/>
      <c r="S9" s="42"/>
      <c r="T9" s="42"/>
      <c r="U9" s="42"/>
      <c r="V9" s="42"/>
      <c r="W9" s="42"/>
      <c r="X9" s="176" t="b">
        <f t="shared" si="13"/>
        <v>1</v>
      </c>
      <c r="Y9" s="185">
        <f t="shared" si="10"/>
        <v>0.5</v>
      </c>
      <c r="Z9" s="186" t="b">
        <f t="shared" si="11"/>
        <v>1</v>
      </c>
      <c r="AA9" s="186" t="b">
        <f t="shared" si="12"/>
        <v>1</v>
      </c>
      <c r="AB9" s="187"/>
    </row>
    <row r="10" spans="1:28" s="182" customFormat="1" ht="24">
      <c r="A10" s="134">
        <v>8</v>
      </c>
      <c r="B10" s="133" t="s">
        <v>379</v>
      </c>
      <c r="C10" s="146" t="s">
        <v>67</v>
      </c>
      <c r="D10" s="133" t="s">
        <v>105</v>
      </c>
      <c r="E10" s="144">
        <v>2408</v>
      </c>
      <c r="F10" s="271" t="s">
        <v>390</v>
      </c>
      <c r="G10" s="133" t="s">
        <v>124</v>
      </c>
      <c r="H10" s="418">
        <v>2.9609999999999999</v>
      </c>
      <c r="I10" s="346" t="s">
        <v>442</v>
      </c>
      <c r="J10" s="177">
        <v>21000429</v>
      </c>
      <c r="K10" s="131">
        <f t="shared" si="0"/>
        <v>11550235.949999999</v>
      </c>
      <c r="L10" s="132">
        <f t="shared" si="1"/>
        <v>9450193.0500000007</v>
      </c>
      <c r="M10" s="153">
        <v>0.55000000000000004</v>
      </c>
      <c r="N10" s="131">
        <v>0</v>
      </c>
      <c r="O10" s="131">
        <v>1100058.8500000001</v>
      </c>
      <c r="P10" s="132">
        <v>2750058.85</v>
      </c>
      <c r="Q10" s="132">
        <v>2750058.85</v>
      </c>
      <c r="R10" s="132">
        <v>2750059.4</v>
      </c>
      <c r="S10" s="132">
        <v>2200000</v>
      </c>
      <c r="T10" s="132"/>
      <c r="U10" s="132"/>
      <c r="V10" s="132"/>
      <c r="W10" s="132"/>
      <c r="X10" s="178" t="b">
        <f>K10=SUM(N10:W10)</f>
        <v>1</v>
      </c>
      <c r="Y10" s="179">
        <f>ROUND(K10/J10,4)</f>
        <v>0.55000000000000004</v>
      </c>
      <c r="Z10" s="180" t="b">
        <f>Y10=M10</f>
        <v>1</v>
      </c>
      <c r="AA10" s="180" t="b">
        <f>J10=K10+L10</f>
        <v>1</v>
      </c>
      <c r="AB10" s="181"/>
    </row>
    <row r="11" spans="1:28" s="188" customFormat="1" ht="24">
      <c r="A11" s="134">
        <v>9</v>
      </c>
      <c r="B11" s="134" t="s">
        <v>380</v>
      </c>
      <c r="C11" s="134" t="s">
        <v>68</v>
      </c>
      <c r="D11" s="134" t="s">
        <v>480</v>
      </c>
      <c r="E11" s="159">
        <v>2406</v>
      </c>
      <c r="F11" s="40" t="s">
        <v>391</v>
      </c>
      <c r="G11" s="134" t="s">
        <v>124</v>
      </c>
      <c r="H11" s="419">
        <v>4.5720000000000001</v>
      </c>
      <c r="I11" s="347" t="s">
        <v>443</v>
      </c>
      <c r="J11" s="270">
        <v>9877841</v>
      </c>
      <c r="K11" s="41">
        <f>70%*J11</f>
        <v>6914488.6999999993</v>
      </c>
      <c r="L11" s="42">
        <f t="shared" ref="L11" si="14">J11-K11</f>
        <v>2963352.3000000007</v>
      </c>
      <c r="M11" s="174">
        <v>0.7</v>
      </c>
      <c r="N11" s="41">
        <v>0</v>
      </c>
      <c r="O11" s="42">
        <v>6914488.6999999993</v>
      </c>
      <c r="P11" s="42"/>
      <c r="Q11" s="42"/>
      <c r="R11" s="42"/>
      <c r="S11" s="42"/>
      <c r="T11" s="42"/>
      <c r="U11" s="42"/>
      <c r="V11" s="42"/>
      <c r="W11" s="42"/>
      <c r="X11" s="176" t="b">
        <f>K11=SUM(N11:W11)</f>
        <v>1</v>
      </c>
      <c r="Y11" s="185">
        <f>ROUND(K11/J11,4)</f>
        <v>0.7</v>
      </c>
      <c r="Z11" s="186" t="b">
        <f t="shared" ref="Z11" si="15">Y11=M11</f>
        <v>1</v>
      </c>
      <c r="AA11" s="186" t="b">
        <f>J11=K11+L11</f>
        <v>1</v>
      </c>
      <c r="AB11" s="187"/>
    </row>
    <row r="12" spans="1:28" s="188" customFormat="1" ht="36">
      <c r="A12" s="134">
        <v>10</v>
      </c>
      <c r="B12" s="134" t="s">
        <v>478</v>
      </c>
      <c r="C12" s="134" t="s">
        <v>68</v>
      </c>
      <c r="D12" s="134" t="s">
        <v>479</v>
      </c>
      <c r="E12" s="159">
        <v>2412</v>
      </c>
      <c r="F12" s="40" t="s">
        <v>481</v>
      </c>
      <c r="G12" s="134" t="s">
        <v>417</v>
      </c>
      <c r="H12" s="419">
        <v>0.91900000000000004</v>
      </c>
      <c r="I12" s="347" t="s">
        <v>440</v>
      </c>
      <c r="J12" s="270">
        <v>2027865</v>
      </c>
      <c r="K12" s="41">
        <f>60%*J12</f>
        <v>1216719</v>
      </c>
      <c r="L12" s="42">
        <f t="shared" ref="L12" si="16">J12-K12</f>
        <v>811146</v>
      </c>
      <c r="M12" s="174">
        <v>0.6</v>
      </c>
      <c r="N12" s="41">
        <v>0</v>
      </c>
      <c r="O12" s="41">
        <v>1216719</v>
      </c>
      <c r="P12" s="42"/>
      <c r="Q12" s="42"/>
      <c r="R12" s="42"/>
      <c r="S12" s="42"/>
      <c r="T12" s="42"/>
      <c r="U12" s="42"/>
      <c r="V12" s="42"/>
      <c r="W12" s="43"/>
      <c r="X12" s="176" t="b">
        <f>K12=SUM(N12:W12)</f>
        <v>1</v>
      </c>
      <c r="Y12" s="185">
        <f>ROUND(K12/J12,4)</f>
        <v>0.6</v>
      </c>
      <c r="Z12" s="186" t="b">
        <f t="shared" ref="Z12" si="17">Y12=M12</f>
        <v>1</v>
      </c>
      <c r="AA12" s="186" t="b">
        <f>J12=K12+L12</f>
        <v>1</v>
      </c>
      <c r="AB12" s="187"/>
    </row>
    <row r="13" spans="1:28" s="157" customFormat="1" ht="20.100000000000001" customHeight="1">
      <c r="A13" s="514" t="s">
        <v>44</v>
      </c>
      <c r="B13" s="514"/>
      <c r="C13" s="514"/>
      <c r="D13" s="514"/>
      <c r="E13" s="514"/>
      <c r="F13" s="514"/>
      <c r="G13" s="514"/>
      <c r="H13" s="189">
        <f>SUM(H3:H11)</f>
        <v>20.919</v>
      </c>
      <c r="I13" s="413" t="s">
        <v>14</v>
      </c>
      <c r="J13" s="190">
        <f>SUM(J3:J12)</f>
        <v>83248423</v>
      </c>
      <c r="K13" s="154">
        <f>SUM(K3:K12)</f>
        <v>45443701.799999997</v>
      </c>
      <c r="L13" s="154">
        <f>SUM(L3:L12)</f>
        <v>37804721.200000003</v>
      </c>
      <c r="M13" s="174" t="s">
        <v>14</v>
      </c>
      <c r="N13" s="191">
        <f>SUM(N10:N12)</f>
        <v>0</v>
      </c>
      <c r="O13" s="191">
        <f>SUM(O3:O12)</f>
        <v>29479350.550000001</v>
      </c>
      <c r="P13" s="191">
        <f t="shared" ref="P13:W13" si="18">SUM(P3:P12)</f>
        <v>8264233</v>
      </c>
      <c r="Q13" s="191">
        <f t="shared" si="18"/>
        <v>2750058.85</v>
      </c>
      <c r="R13" s="191">
        <f t="shared" si="18"/>
        <v>2750059.4</v>
      </c>
      <c r="S13" s="191">
        <f t="shared" si="18"/>
        <v>2200000</v>
      </c>
      <c r="T13" s="191">
        <f t="shared" si="18"/>
        <v>0</v>
      </c>
      <c r="U13" s="191">
        <f t="shared" si="18"/>
        <v>0</v>
      </c>
      <c r="V13" s="191">
        <f t="shared" si="18"/>
        <v>0</v>
      </c>
      <c r="W13" s="191">
        <f t="shared" si="18"/>
        <v>0</v>
      </c>
      <c r="X13" s="176" t="b">
        <f t="shared" ref="X13" si="19">K13=SUM(N13:W13)</f>
        <v>1</v>
      </c>
      <c r="Y13" s="185">
        <f t="shared" ref="Y13" si="20">ROUND(K13/J13,4)</f>
        <v>0.54590000000000005</v>
      </c>
      <c r="Z13" s="186" t="s">
        <v>14</v>
      </c>
      <c r="AA13" s="186" t="b">
        <f t="shared" ref="AA13" si="21">J13=K13+L13</f>
        <v>1</v>
      </c>
      <c r="AB13" s="192"/>
    </row>
    <row r="14" spans="1:28" s="157" customFormat="1" ht="20.100000000000001" customHeight="1">
      <c r="A14" s="514" t="s">
        <v>38</v>
      </c>
      <c r="B14" s="514"/>
      <c r="C14" s="514"/>
      <c r="D14" s="514"/>
      <c r="E14" s="514"/>
      <c r="F14" s="514"/>
      <c r="G14" s="514"/>
      <c r="H14" s="189">
        <f>SUMIF($C$3:$C$11,"N",H3:H11)</f>
        <v>12.212999999999999</v>
      </c>
      <c r="I14" s="413" t="s">
        <v>14</v>
      </c>
      <c r="J14" s="190">
        <f>SUMIF($C$3:$C$12,"N",J3:J12)</f>
        <v>36114310</v>
      </c>
      <c r="K14" s="154">
        <f>SUMIF($C$3:$C$12,"N",K3:K12)</f>
        <v>20385509.699999999</v>
      </c>
      <c r="L14" s="154">
        <f>SUMIF($C$3:$C$12,"N",L3:L12)</f>
        <v>15728800.300000001</v>
      </c>
      <c r="M14" s="174" t="s">
        <v>14</v>
      </c>
      <c r="N14" s="191">
        <f>SUMIF($C$10:$C$12,"N",N10:N12)</f>
        <v>0</v>
      </c>
      <c r="O14" s="191">
        <f>SUMIF($C$3:$C$12,"N",O3:O12)</f>
        <v>20385509.699999999</v>
      </c>
      <c r="P14" s="191">
        <f t="shared" ref="P14:W14" si="22">SUMIF($C$3:$C$12,"N",P3:P12)</f>
        <v>0</v>
      </c>
      <c r="Q14" s="191">
        <f t="shared" si="22"/>
        <v>0</v>
      </c>
      <c r="R14" s="191">
        <f t="shared" si="22"/>
        <v>0</v>
      </c>
      <c r="S14" s="191">
        <f t="shared" si="22"/>
        <v>0</v>
      </c>
      <c r="T14" s="191">
        <f t="shared" si="22"/>
        <v>0</v>
      </c>
      <c r="U14" s="191">
        <f t="shared" si="22"/>
        <v>0</v>
      </c>
      <c r="V14" s="191">
        <f t="shared" si="22"/>
        <v>0</v>
      </c>
      <c r="W14" s="191">
        <f t="shared" si="22"/>
        <v>0</v>
      </c>
      <c r="X14" s="176" t="b">
        <f t="shared" ref="X14" si="23">K14=SUM(N14:W14)</f>
        <v>1</v>
      </c>
      <c r="Y14" s="185">
        <f t="shared" ref="Y14" si="24">ROUND(K14/J14,4)</f>
        <v>0.5645</v>
      </c>
      <c r="Z14" s="186" t="s">
        <v>14</v>
      </c>
      <c r="AA14" s="186" t="b">
        <f t="shared" ref="AA14" si="25">J14=K14+L14</f>
        <v>1</v>
      </c>
      <c r="AB14" s="192"/>
    </row>
    <row r="15" spans="1:28" s="157" customFormat="1" ht="20.100000000000001" customHeight="1">
      <c r="A15" s="508" t="s">
        <v>39</v>
      </c>
      <c r="B15" s="508"/>
      <c r="C15" s="508"/>
      <c r="D15" s="508"/>
      <c r="E15" s="508"/>
      <c r="F15" s="508"/>
      <c r="G15" s="508"/>
      <c r="H15" s="193">
        <f>SUMIF($C$3:$C$11,"W",H3:H11)</f>
        <v>8.7059999999999995</v>
      </c>
      <c r="I15" s="258" t="s">
        <v>14</v>
      </c>
      <c r="J15" s="147">
        <f>SUMIF($C$3:$C$12,"W",J3:J12)</f>
        <v>47134113</v>
      </c>
      <c r="K15" s="132">
        <f>SUMIF($C$3:$C$11,"W",K3:K11)</f>
        <v>25058192.100000001</v>
      </c>
      <c r="L15" s="132">
        <f>SUMIF($C$3:$C$12,"W",L3:L12)</f>
        <v>22075920.899999999</v>
      </c>
      <c r="M15" s="153" t="s">
        <v>14</v>
      </c>
      <c r="N15" s="111">
        <f>SUMIF($C$10:$C$12,"W",N10:N12)</f>
        <v>0</v>
      </c>
      <c r="O15" s="111">
        <f>SUMIF($C$3:$C$12,"W",O3:O12)</f>
        <v>9093840.8499999996</v>
      </c>
      <c r="P15" s="111">
        <f t="shared" ref="P15:W15" si="26">SUMIF($C$3:$C$12,"W",P3:P12)</f>
        <v>8264233</v>
      </c>
      <c r="Q15" s="111">
        <f t="shared" si="26"/>
        <v>2750058.85</v>
      </c>
      <c r="R15" s="111">
        <f t="shared" si="26"/>
        <v>2750059.4</v>
      </c>
      <c r="S15" s="111">
        <f t="shared" si="26"/>
        <v>2200000</v>
      </c>
      <c r="T15" s="111">
        <f t="shared" si="26"/>
        <v>0</v>
      </c>
      <c r="U15" s="111">
        <f t="shared" si="26"/>
        <v>0</v>
      </c>
      <c r="V15" s="111">
        <f t="shared" si="26"/>
        <v>0</v>
      </c>
      <c r="W15" s="111">
        <f t="shared" si="26"/>
        <v>0</v>
      </c>
      <c r="X15" s="176" t="b">
        <f t="shared" ref="X15" si="27">K15=SUM(N15:W15)</f>
        <v>1</v>
      </c>
      <c r="Y15" s="185">
        <f t="shared" ref="Y15" si="28">ROUND(K15/J15,4)</f>
        <v>0.53159999999999996</v>
      </c>
      <c r="Z15" s="186" t="s">
        <v>14</v>
      </c>
      <c r="AA15" s="186" t="b">
        <f t="shared" ref="AA15" si="29">J15=K15+L15</f>
        <v>1</v>
      </c>
      <c r="AB15" s="192"/>
    </row>
    <row r="16" spans="1:28" s="157" customFormat="1" ht="12">
      <c r="A16" s="175"/>
      <c r="B16" s="176"/>
      <c r="C16" s="176"/>
      <c r="D16" s="176"/>
      <c r="E16" s="176"/>
      <c r="G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</row>
    <row r="17" spans="1:23">
      <c r="A17" s="360" t="s">
        <v>24</v>
      </c>
      <c r="W17" s="27"/>
    </row>
    <row r="18" spans="1:23">
      <c r="A18" s="361" t="s">
        <v>25</v>
      </c>
      <c r="W18" s="27"/>
    </row>
    <row r="19" spans="1:23">
      <c r="A19" s="360" t="s">
        <v>35</v>
      </c>
      <c r="W19" s="27"/>
    </row>
    <row r="20" spans="1:23">
      <c r="A20" s="172"/>
    </row>
  </sheetData>
  <mergeCells count="17">
    <mergeCell ref="J1:J2"/>
    <mergeCell ref="K1:K2"/>
    <mergeCell ref="L1:L2"/>
    <mergeCell ref="M1:M2"/>
    <mergeCell ref="N1:W1"/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</mergeCells>
  <conditionalFormatting sqref="AA15 X10:AB11">
    <cfRule type="cellIs" dxfId="49" priority="44" operator="equal">
      <formula>FALSE</formula>
    </cfRule>
  </conditionalFormatting>
  <conditionalFormatting sqref="AB15">
    <cfRule type="cellIs" dxfId="48" priority="49" operator="equal">
      <formula>FALSE</formula>
    </cfRule>
  </conditionalFormatting>
  <conditionalFormatting sqref="AB15">
    <cfRule type="cellIs" dxfId="47" priority="48" operator="equal">
      <formula>FALSE</formula>
    </cfRule>
  </conditionalFormatting>
  <conditionalFormatting sqref="Y15:Z15">
    <cfRule type="cellIs" dxfId="46" priority="47" operator="equal">
      <formula>FALSE</formula>
    </cfRule>
  </conditionalFormatting>
  <conditionalFormatting sqref="X15">
    <cfRule type="cellIs" dxfId="45" priority="46" operator="equal">
      <formula>FALSE</formula>
    </cfRule>
  </conditionalFormatting>
  <conditionalFormatting sqref="X15:Z15 X10:Z11">
    <cfRule type="containsText" dxfId="44" priority="45" operator="containsText" text="fałsz">
      <formula>NOT(ISERROR(SEARCH("fałsz",X10)))</formula>
    </cfRule>
  </conditionalFormatting>
  <conditionalFormatting sqref="AA15">
    <cfRule type="cellIs" dxfId="43" priority="43" operator="equal">
      <formula>FALSE</formula>
    </cfRule>
  </conditionalFormatting>
  <conditionalFormatting sqref="AB13:AB14">
    <cfRule type="cellIs" dxfId="42" priority="42" operator="equal">
      <formula>FALSE</formula>
    </cfRule>
  </conditionalFormatting>
  <conditionalFormatting sqref="AB13:AB14">
    <cfRule type="cellIs" dxfId="41" priority="41" operator="equal">
      <formula>FALSE</formula>
    </cfRule>
  </conditionalFormatting>
  <conditionalFormatting sqref="Y13:Z13">
    <cfRule type="cellIs" dxfId="40" priority="40" operator="equal">
      <formula>FALSE</formula>
    </cfRule>
  </conditionalFormatting>
  <conditionalFormatting sqref="X13">
    <cfRule type="cellIs" dxfId="39" priority="39" operator="equal">
      <formula>FALSE</formula>
    </cfRule>
  </conditionalFormatting>
  <conditionalFormatting sqref="X13:Z13">
    <cfRule type="containsText" dxfId="38" priority="38" operator="containsText" text="fałsz">
      <formula>NOT(ISERROR(SEARCH("fałsz",X13)))</formula>
    </cfRule>
  </conditionalFormatting>
  <conditionalFormatting sqref="AA13">
    <cfRule type="cellIs" dxfId="37" priority="37" operator="equal">
      <formula>FALSE</formula>
    </cfRule>
  </conditionalFormatting>
  <conditionalFormatting sqref="AA13">
    <cfRule type="cellIs" dxfId="36" priority="36" operator="equal">
      <formula>FALSE</formula>
    </cfRule>
  </conditionalFormatting>
  <conditionalFormatting sqref="Y14:Z14">
    <cfRule type="cellIs" dxfId="35" priority="35" operator="equal">
      <formula>FALSE</formula>
    </cfRule>
  </conditionalFormatting>
  <conditionalFormatting sqref="X14">
    <cfRule type="cellIs" dxfId="34" priority="34" operator="equal">
      <formula>FALSE</formula>
    </cfRule>
  </conditionalFormatting>
  <conditionalFormatting sqref="X14:Z14">
    <cfRule type="containsText" dxfId="33" priority="33" operator="containsText" text="fałsz">
      <formula>NOT(ISERROR(SEARCH("fałsz",X14)))</formula>
    </cfRule>
  </conditionalFormatting>
  <conditionalFormatting sqref="AA14">
    <cfRule type="cellIs" dxfId="32" priority="32" operator="equal">
      <formula>FALSE</formula>
    </cfRule>
  </conditionalFormatting>
  <conditionalFormatting sqref="AA14">
    <cfRule type="cellIs" dxfId="31" priority="31" operator="equal">
      <formula>FALSE</formula>
    </cfRule>
  </conditionalFormatting>
  <conditionalFormatting sqref="AA7:AA8">
    <cfRule type="cellIs" dxfId="30" priority="25" operator="equal">
      <formula>FALSE</formula>
    </cfRule>
  </conditionalFormatting>
  <conditionalFormatting sqref="AB7:AB8">
    <cfRule type="cellIs" dxfId="29" priority="30" operator="equal">
      <formula>FALSE</formula>
    </cfRule>
  </conditionalFormatting>
  <conditionalFormatting sqref="AB7:AB8">
    <cfRule type="cellIs" dxfId="28" priority="29" operator="equal">
      <formula>FALSE</formula>
    </cfRule>
  </conditionalFormatting>
  <conditionalFormatting sqref="Y7:Z8">
    <cfRule type="cellIs" dxfId="27" priority="28" operator="equal">
      <formula>FALSE</formula>
    </cfRule>
  </conditionalFormatting>
  <conditionalFormatting sqref="X7:X8">
    <cfRule type="cellIs" dxfId="26" priority="27" operator="equal">
      <formula>FALSE</formula>
    </cfRule>
  </conditionalFormatting>
  <conditionalFormatting sqref="X7:Z8">
    <cfRule type="containsText" dxfId="25" priority="26" operator="containsText" text="fałsz">
      <formula>NOT(ISERROR(SEARCH("fałsz",X7)))</formula>
    </cfRule>
  </conditionalFormatting>
  <conditionalFormatting sqref="AA7:AA8">
    <cfRule type="cellIs" dxfId="24" priority="24" operator="equal">
      <formula>FALSE</formula>
    </cfRule>
  </conditionalFormatting>
  <conditionalFormatting sqref="AA5:AA6">
    <cfRule type="cellIs" dxfId="23" priority="18" operator="equal">
      <formula>FALSE</formula>
    </cfRule>
  </conditionalFormatting>
  <conditionalFormatting sqref="AB5:AB6">
    <cfRule type="cellIs" dxfId="22" priority="23" operator="equal">
      <formula>FALSE</formula>
    </cfRule>
  </conditionalFormatting>
  <conditionalFormatting sqref="AB5:AB6">
    <cfRule type="cellIs" dxfId="21" priority="22" operator="equal">
      <formula>FALSE</formula>
    </cfRule>
  </conditionalFormatting>
  <conditionalFormatting sqref="Y5:Z6">
    <cfRule type="cellIs" dxfId="20" priority="21" operator="equal">
      <formula>FALSE</formula>
    </cfRule>
  </conditionalFormatting>
  <conditionalFormatting sqref="X5:X6">
    <cfRule type="cellIs" dxfId="19" priority="20" operator="equal">
      <formula>FALSE</formula>
    </cfRule>
  </conditionalFormatting>
  <conditionalFormatting sqref="X5:Z6">
    <cfRule type="containsText" dxfId="18" priority="19" operator="containsText" text="fałsz">
      <formula>NOT(ISERROR(SEARCH("fałsz",X5)))</formula>
    </cfRule>
  </conditionalFormatting>
  <conditionalFormatting sqref="AA5:AA6">
    <cfRule type="cellIs" dxfId="17" priority="17" operator="equal">
      <formula>FALSE</formula>
    </cfRule>
  </conditionalFormatting>
  <conditionalFormatting sqref="AA3:AA4">
    <cfRule type="cellIs" dxfId="16" priority="11" operator="equal">
      <formula>FALSE</formula>
    </cfRule>
  </conditionalFormatting>
  <conditionalFormatting sqref="AB3:AB4">
    <cfRule type="cellIs" dxfId="15" priority="16" operator="equal">
      <formula>FALSE</formula>
    </cfRule>
  </conditionalFormatting>
  <conditionalFormatting sqref="AB3:AB4">
    <cfRule type="cellIs" dxfId="14" priority="15" operator="equal">
      <formula>FALSE</formula>
    </cfRule>
  </conditionalFormatting>
  <conditionalFormatting sqref="Y3:Z4">
    <cfRule type="cellIs" dxfId="13" priority="14" operator="equal">
      <formula>FALSE</formula>
    </cfRule>
  </conditionalFormatting>
  <conditionalFormatting sqref="X3:X4">
    <cfRule type="cellIs" dxfId="12" priority="13" operator="equal">
      <formula>FALSE</formula>
    </cfRule>
  </conditionalFormatting>
  <conditionalFormatting sqref="X3:Z4">
    <cfRule type="containsText" dxfId="11" priority="12" operator="containsText" text="fałsz">
      <formula>NOT(ISERROR(SEARCH("fałsz",X3)))</formula>
    </cfRule>
  </conditionalFormatting>
  <conditionalFormatting sqref="AA3:AA4">
    <cfRule type="cellIs" dxfId="10" priority="10" operator="equal">
      <formula>FALSE</formula>
    </cfRule>
  </conditionalFormatting>
  <conditionalFormatting sqref="AA9">
    <cfRule type="cellIs" dxfId="9" priority="4" operator="equal">
      <formula>FALSE</formula>
    </cfRule>
  </conditionalFormatting>
  <conditionalFormatting sqref="AB9">
    <cfRule type="cellIs" dxfId="8" priority="9" operator="equal">
      <formula>FALSE</formula>
    </cfRule>
  </conditionalFormatting>
  <conditionalFormatting sqref="AB9">
    <cfRule type="cellIs" dxfId="7" priority="8" operator="equal">
      <formula>FALSE</formula>
    </cfRule>
  </conditionalFormatting>
  <conditionalFormatting sqref="Y9:Z9">
    <cfRule type="cellIs" dxfId="6" priority="7" operator="equal">
      <formula>FALSE</formula>
    </cfRule>
  </conditionalFormatting>
  <conditionalFormatting sqref="X9">
    <cfRule type="cellIs" dxfId="5" priority="6" operator="equal">
      <formula>FALSE</formula>
    </cfRule>
  </conditionalFormatting>
  <conditionalFormatting sqref="X9:Z9">
    <cfRule type="containsText" dxfId="4" priority="5" operator="containsText" text="fałsz">
      <formula>NOT(ISERROR(SEARCH("fałsz",X9)))</formula>
    </cfRule>
  </conditionalFormatting>
  <conditionalFormatting sqref="AA9">
    <cfRule type="cellIs" dxfId="3" priority="3" operator="equal">
      <formula>FALSE</formula>
    </cfRule>
  </conditionalFormatting>
  <conditionalFormatting sqref="X12:AB12">
    <cfRule type="cellIs" dxfId="2" priority="1" operator="equal">
      <formula>FALSE</formula>
    </cfRule>
  </conditionalFormatting>
  <conditionalFormatting sqref="X12:Z12">
    <cfRule type="containsText" dxfId="1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showGridLines="0" view="pageBreakPreview" topLeftCell="W1" zoomScale="115" zoomScaleNormal="78" zoomScaleSheetLayoutView="115" workbookViewId="0">
      <selection activeCell="D1" sqref="D1:D2"/>
    </sheetView>
  </sheetViews>
  <sheetFormatPr defaultColWidth="27.5703125" defaultRowHeight="12"/>
  <cols>
    <col min="1" max="1" width="5" style="145" customWidth="1"/>
    <col min="2" max="2" width="12" style="155" customWidth="1"/>
    <col min="3" max="3" width="12.42578125" style="155" customWidth="1"/>
    <col min="4" max="4" width="30" style="155" customWidth="1"/>
    <col min="5" max="5" width="10.7109375" style="155" customWidth="1"/>
    <col min="6" max="6" width="12.7109375" style="145" customWidth="1"/>
    <col min="7" max="7" width="38.7109375" style="155" customWidth="1"/>
    <col min="8" max="8" width="8.7109375" style="155" customWidth="1"/>
    <col min="9" max="9" width="13.85546875" style="155" customWidth="1"/>
    <col min="10" max="10" width="15.85546875" style="145" customWidth="1"/>
    <col min="11" max="11" width="13.28515625" style="157" customWidth="1"/>
    <col min="12" max="12" width="13.140625" style="155" customWidth="1"/>
    <col min="13" max="13" width="12.5703125" style="155" customWidth="1"/>
    <col min="14" max="14" width="12.28515625" style="145" customWidth="1"/>
    <col min="15" max="15" width="9.85546875" style="155" customWidth="1"/>
    <col min="16" max="16" width="11.140625" style="155" customWidth="1"/>
    <col min="17" max="17" width="10.5703125" style="155" customWidth="1"/>
    <col min="18" max="24" width="9.85546875" style="155" customWidth="1"/>
    <col min="25" max="16384" width="27.5703125" style="155"/>
  </cols>
  <sheetData>
    <row r="1" spans="1:28" ht="20.100000000000001" customHeight="1">
      <c r="A1" s="515" t="s">
        <v>4</v>
      </c>
      <c r="B1" s="515" t="s">
        <v>5</v>
      </c>
      <c r="C1" s="531" t="s">
        <v>525</v>
      </c>
      <c r="D1" s="516" t="s">
        <v>6</v>
      </c>
      <c r="E1" s="516" t="s">
        <v>33</v>
      </c>
      <c r="F1" s="516" t="s">
        <v>15</v>
      </c>
      <c r="G1" s="515" t="s">
        <v>7</v>
      </c>
      <c r="H1" s="515" t="s">
        <v>26</v>
      </c>
      <c r="I1" s="515" t="s">
        <v>8</v>
      </c>
      <c r="J1" s="515" t="s">
        <v>27</v>
      </c>
      <c r="K1" s="518" t="s">
        <v>9</v>
      </c>
      <c r="L1" s="515" t="s">
        <v>10</v>
      </c>
      <c r="M1" s="516" t="s">
        <v>13</v>
      </c>
      <c r="N1" s="515" t="s">
        <v>11</v>
      </c>
      <c r="O1" s="515" t="s">
        <v>12</v>
      </c>
      <c r="P1" s="515"/>
      <c r="Q1" s="515"/>
      <c r="R1" s="515"/>
      <c r="S1" s="515"/>
      <c r="T1" s="515"/>
      <c r="U1" s="515"/>
      <c r="V1" s="515"/>
      <c r="W1" s="515"/>
      <c r="X1" s="515"/>
      <c r="Y1" s="362"/>
      <c r="Z1" s="362"/>
      <c r="AA1" s="362"/>
      <c r="AB1" s="362"/>
    </row>
    <row r="2" spans="1:28" ht="28.5" customHeight="1">
      <c r="A2" s="515"/>
      <c r="B2" s="515"/>
      <c r="C2" s="532"/>
      <c r="D2" s="517"/>
      <c r="E2" s="517"/>
      <c r="F2" s="517"/>
      <c r="G2" s="515"/>
      <c r="H2" s="515"/>
      <c r="I2" s="515"/>
      <c r="J2" s="515"/>
      <c r="K2" s="518"/>
      <c r="L2" s="515"/>
      <c r="M2" s="517"/>
      <c r="N2" s="515"/>
      <c r="O2" s="259">
        <v>2019</v>
      </c>
      <c r="P2" s="259">
        <v>2020</v>
      </c>
      <c r="Q2" s="259">
        <v>2021</v>
      </c>
      <c r="R2" s="259">
        <v>2022</v>
      </c>
      <c r="S2" s="259">
        <v>2023</v>
      </c>
      <c r="T2" s="259">
        <v>2024</v>
      </c>
      <c r="U2" s="259">
        <v>2025</v>
      </c>
      <c r="V2" s="259">
        <v>2026</v>
      </c>
      <c r="W2" s="259">
        <v>2027</v>
      </c>
      <c r="X2" s="259">
        <v>2028</v>
      </c>
      <c r="Y2" s="363" t="s">
        <v>29</v>
      </c>
      <c r="Z2" s="363" t="s">
        <v>30</v>
      </c>
      <c r="AA2" s="363" t="s">
        <v>31</v>
      </c>
      <c r="AB2" s="364" t="s">
        <v>32</v>
      </c>
    </row>
    <row r="3" spans="1:28" s="156" customFormat="1" ht="45">
      <c r="A3" s="296">
        <v>1</v>
      </c>
      <c r="B3" s="312" t="s">
        <v>350</v>
      </c>
      <c r="C3" s="313" t="s">
        <v>67</v>
      </c>
      <c r="D3" s="312" t="s">
        <v>358</v>
      </c>
      <c r="E3" s="371">
        <v>2415041</v>
      </c>
      <c r="F3" s="296" t="s">
        <v>303</v>
      </c>
      <c r="G3" s="372" t="s">
        <v>365</v>
      </c>
      <c r="H3" s="296" t="s">
        <v>122</v>
      </c>
      <c r="I3" s="317">
        <v>4.6180000000000003</v>
      </c>
      <c r="J3" s="318" t="s">
        <v>463</v>
      </c>
      <c r="K3" s="373">
        <v>10721641</v>
      </c>
      <c r="L3" s="305">
        <f>ROUND(K3*N3,2)</f>
        <v>5360820.5</v>
      </c>
      <c r="M3" s="304">
        <f>K3-L3</f>
        <v>5360820.5</v>
      </c>
      <c r="N3" s="349">
        <v>0.5</v>
      </c>
      <c r="O3" s="305">
        <v>0</v>
      </c>
      <c r="P3" s="305">
        <v>100000</v>
      </c>
      <c r="Q3" s="304">
        <v>1900000</v>
      </c>
      <c r="R3" s="304">
        <v>3360820.5</v>
      </c>
      <c r="S3" s="374"/>
      <c r="T3" s="374"/>
      <c r="U3" s="374"/>
      <c r="V3" s="374"/>
      <c r="W3" s="374"/>
      <c r="X3" s="374"/>
      <c r="Y3" s="368" t="b">
        <f t="shared" ref="Y3:Y23" si="0">L3=SUM(O3:X3)</f>
        <v>1</v>
      </c>
      <c r="Z3" s="369">
        <f t="shared" ref="Z3:Z23" si="1">ROUND(L3/K3,4)</f>
        <v>0.5</v>
      </c>
      <c r="AA3" s="370" t="b">
        <f t="shared" ref="AA3:AA23" si="2">Z3=N3</f>
        <v>1</v>
      </c>
      <c r="AB3" s="370" t="b">
        <f t="shared" ref="AB3:AB23" si="3">K3=L3+M3</f>
        <v>1</v>
      </c>
    </row>
    <row r="4" spans="1:28" ht="22.5">
      <c r="A4" s="365">
        <v>2</v>
      </c>
      <c r="B4" s="375" t="s">
        <v>351</v>
      </c>
      <c r="C4" s="320" t="s">
        <v>68</v>
      </c>
      <c r="D4" s="375" t="s">
        <v>359</v>
      </c>
      <c r="E4" s="366">
        <v>2410012</v>
      </c>
      <c r="F4" s="319" t="s">
        <v>434</v>
      </c>
      <c r="G4" s="376" t="s">
        <v>366</v>
      </c>
      <c r="H4" s="319" t="s">
        <v>122</v>
      </c>
      <c r="I4" s="324">
        <v>0.26300000000000001</v>
      </c>
      <c r="J4" s="325" t="s">
        <v>464</v>
      </c>
      <c r="K4" s="377">
        <v>2383525</v>
      </c>
      <c r="L4" s="327">
        <f>ROUND(K4*N4,2)</f>
        <v>1191762.5</v>
      </c>
      <c r="M4" s="328">
        <f t="shared" ref="M4:M5" si="4">K4-L4</f>
        <v>1191762.5</v>
      </c>
      <c r="N4" s="350">
        <v>0.5</v>
      </c>
      <c r="O4" s="327">
        <v>0</v>
      </c>
      <c r="P4" s="327">
        <v>1191762.5</v>
      </c>
      <c r="Q4" s="326"/>
      <c r="R4" s="326"/>
      <c r="S4" s="367"/>
      <c r="T4" s="367"/>
      <c r="U4" s="367"/>
      <c r="V4" s="367"/>
      <c r="W4" s="367"/>
      <c r="X4" s="367"/>
      <c r="Y4" s="368" t="b">
        <f t="shared" si="0"/>
        <v>1</v>
      </c>
      <c r="Z4" s="369">
        <f t="shared" si="1"/>
        <v>0.5</v>
      </c>
      <c r="AA4" s="370" t="b">
        <f t="shared" si="2"/>
        <v>1</v>
      </c>
      <c r="AB4" s="370" t="b">
        <f t="shared" si="3"/>
        <v>1</v>
      </c>
    </row>
    <row r="5" spans="1:28" ht="22.5">
      <c r="A5" s="365">
        <v>3</v>
      </c>
      <c r="B5" s="375" t="s">
        <v>352</v>
      </c>
      <c r="C5" s="320" t="s">
        <v>68</v>
      </c>
      <c r="D5" s="375" t="s">
        <v>360</v>
      </c>
      <c r="E5" s="366">
        <v>2401021</v>
      </c>
      <c r="F5" s="319" t="s">
        <v>337</v>
      </c>
      <c r="G5" s="376" t="s">
        <v>367</v>
      </c>
      <c r="H5" s="319" t="s">
        <v>122</v>
      </c>
      <c r="I5" s="324">
        <v>0.55600000000000005</v>
      </c>
      <c r="J5" s="325" t="s">
        <v>465</v>
      </c>
      <c r="K5" s="377">
        <v>3532069</v>
      </c>
      <c r="L5" s="327">
        <f>ROUND(K5*N5,2)</f>
        <v>1766034.5</v>
      </c>
      <c r="M5" s="328">
        <f t="shared" si="4"/>
        <v>1766034.5</v>
      </c>
      <c r="N5" s="350">
        <v>0.5</v>
      </c>
      <c r="O5" s="327">
        <v>0</v>
      </c>
      <c r="P5" s="326">
        <v>1766034.5</v>
      </c>
      <c r="Q5" s="326"/>
      <c r="R5" s="326"/>
      <c r="S5" s="367"/>
      <c r="T5" s="367"/>
      <c r="U5" s="367"/>
      <c r="V5" s="367"/>
      <c r="W5" s="367"/>
      <c r="X5" s="367"/>
      <c r="Y5" s="368" t="b">
        <f t="shared" si="0"/>
        <v>1</v>
      </c>
      <c r="Z5" s="369">
        <f t="shared" si="1"/>
        <v>0.5</v>
      </c>
      <c r="AA5" s="370" t="b">
        <f t="shared" si="2"/>
        <v>1</v>
      </c>
      <c r="AB5" s="370" t="b">
        <f t="shared" si="3"/>
        <v>1</v>
      </c>
    </row>
    <row r="6" spans="1:28" s="156" customFormat="1" ht="33.75">
      <c r="A6" s="312">
        <v>4</v>
      </c>
      <c r="B6" s="312" t="s">
        <v>354</v>
      </c>
      <c r="C6" s="313" t="s">
        <v>67</v>
      </c>
      <c r="D6" s="312" t="s">
        <v>295</v>
      </c>
      <c r="E6" s="371">
        <v>2408021</v>
      </c>
      <c r="F6" s="296" t="s">
        <v>296</v>
      </c>
      <c r="G6" s="372" t="s">
        <v>297</v>
      </c>
      <c r="H6" s="296" t="s">
        <v>124</v>
      </c>
      <c r="I6" s="317">
        <v>9.9000000000000005E-2</v>
      </c>
      <c r="J6" s="318" t="s">
        <v>463</v>
      </c>
      <c r="K6" s="373">
        <v>2707906</v>
      </c>
      <c r="L6" s="305">
        <f t="shared" ref="L6:L8" si="5">ROUND(K6*N6,2)</f>
        <v>1353953</v>
      </c>
      <c r="M6" s="304">
        <f t="shared" ref="M6:M8" si="6">K6-L6</f>
        <v>1353953</v>
      </c>
      <c r="N6" s="349">
        <v>0.5</v>
      </c>
      <c r="O6" s="305">
        <v>0</v>
      </c>
      <c r="P6" s="305">
        <v>150000</v>
      </c>
      <c r="Q6" s="308">
        <v>600000</v>
      </c>
      <c r="R6" s="308">
        <v>603953</v>
      </c>
      <c r="S6" s="374"/>
      <c r="T6" s="374"/>
      <c r="U6" s="374"/>
      <c r="V6" s="374"/>
      <c r="W6" s="374"/>
      <c r="X6" s="374"/>
      <c r="Y6" s="368" t="b">
        <f t="shared" si="0"/>
        <v>1</v>
      </c>
      <c r="Z6" s="369">
        <f t="shared" si="1"/>
        <v>0.5</v>
      </c>
      <c r="AA6" s="370" t="b">
        <f t="shared" si="2"/>
        <v>1</v>
      </c>
      <c r="AB6" s="370" t="b">
        <f t="shared" si="3"/>
        <v>1</v>
      </c>
    </row>
    <row r="7" spans="1:28" ht="33.75">
      <c r="A7" s="365">
        <v>5</v>
      </c>
      <c r="B7" s="375" t="s">
        <v>355</v>
      </c>
      <c r="C7" s="320" t="s">
        <v>68</v>
      </c>
      <c r="D7" s="375" t="s">
        <v>362</v>
      </c>
      <c r="E7" s="330">
        <v>2473011</v>
      </c>
      <c r="F7" s="319" t="s">
        <v>435</v>
      </c>
      <c r="G7" s="376" t="s">
        <v>369</v>
      </c>
      <c r="H7" s="319" t="s">
        <v>124</v>
      </c>
      <c r="I7" s="324">
        <v>0.89300000000000002</v>
      </c>
      <c r="J7" s="325" t="s">
        <v>419</v>
      </c>
      <c r="K7" s="377">
        <v>5290698</v>
      </c>
      <c r="L7" s="327">
        <f t="shared" si="5"/>
        <v>2645349</v>
      </c>
      <c r="M7" s="328">
        <f t="shared" si="6"/>
        <v>2645349</v>
      </c>
      <c r="N7" s="350">
        <v>0.5</v>
      </c>
      <c r="O7" s="327">
        <v>0</v>
      </c>
      <c r="P7" s="327">
        <v>2645349</v>
      </c>
      <c r="Q7" s="326"/>
      <c r="R7" s="326"/>
      <c r="S7" s="326"/>
      <c r="T7" s="326"/>
      <c r="U7" s="326"/>
      <c r="V7" s="326"/>
      <c r="W7" s="326"/>
      <c r="X7" s="326"/>
      <c r="Y7" s="368" t="b">
        <f t="shared" si="0"/>
        <v>1</v>
      </c>
      <c r="Z7" s="369">
        <f t="shared" si="1"/>
        <v>0.5</v>
      </c>
      <c r="AA7" s="370" t="b">
        <f t="shared" si="2"/>
        <v>1</v>
      </c>
      <c r="AB7" s="370" t="b">
        <f t="shared" si="3"/>
        <v>1</v>
      </c>
    </row>
    <row r="8" spans="1:28" ht="22.5">
      <c r="A8" s="365">
        <v>6</v>
      </c>
      <c r="B8" s="375" t="s">
        <v>357</v>
      </c>
      <c r="C8" s="320" t="s">
        <v>68</v>
      </c>
      <c r="D8" s="375" t="s">
        <v>360</v>
      </c>
      <c r="E8" s="366">
        <v>2401021</v>
      </c>
      <c r="F8" s="319" t="s">
        <v>337</v>
      </c>
      <c r="G8" s="376" t="s">
        <v>371</v>
      </c>
      <c r="H8" s="319" t="s">
        <v>122</v>
      </c>
      <c r="I8" s="324">
        <v>0.91300000000000003</v>
      </c>
      <c r="J8" s="325" t="s">
        <v>465</v>
      </c>
      <c r="K8" s="377">
        <v>9677154</v>
      </c>
      <c r="L8" s="327">
        <f t="shared" si="5"/>
        <v>4838577</v>
      </c>
      <c r="M8" s="328">
        <f t="shared" si="6"/>
        <v>4838577</v>
      </c>
      <c r="N8" s="350">
        <v>0.5</v>
      </c>
      <c r="O8" s="327">
        <v>0</v>
      </c>
      <c r="P8" s="327">
        <v>4838577</v>
      </c>
      <c r="Q8" s="326"/>
      <c r="R8" s="326"/>
      <c r="S8" s="326"/>
      <c r="T8" s="326"/>
      <c r="U8" s="326"/>
      <c r="V8" s="326"/>
      <c r="W8" s="326"/>
      <c r="X8" s="326"/>
      <c r="Y8" s="368" t="b">
        <f t="shared" si="0"/>
        <v>1</v>
      </c>
      <c r="Z8" s="369">
        <f t="shared" si="1"/>
        <v>0.5</v>
      </c>
      <c r="AA8" s="370" t="b">
        <f t="shared" si="2"/>
        <v>1</v>
      </c>
      <c r="AB8" s="370" t="b">
        <f t="shared" si="3"/>
        <v>1</v>
      </c>
    </row>
    <row r="9" spans="1:28" s="156" customFormat="1" ht="22.5">
      <c r="A9" s="296">
        <v>7</v>
      </c>
      <c r="B9" s="312" t="s">
        <v>353</v>
      </c>
      <c r="C9" s="313" t="s">
        <v>67</v>
      </c>
      <c r="D9" s="312" t="s">
        <v>361</v>
      </c>
      <c r="E9" s="371">
        <v>2409053</v>
      </c>
      <c r="F9" s="296" t="s">
        <v>324</v>
      </c>
      <c r="G9" s="372" t="s">
        <v>368</v>
      </c>
      <c r="H9" s="296" t="s">
        <v>124</v>
      </c>
      <c r="I9" s="317">
        <v>2.59</v>
      </c>
      <c r="J9" s="318" t="s">
        <v>460</v>
      </c>
      <c r="K9" s="373">
        <v>5876000</v>
      </c>
      <c r="L9" s="305">
        <f>ROUND(K9*N9,2)</f>
        <v>2938000</v>
      </c>
      <c r="M9" s="304">
        <f t="shared" ref="M9:M17" si="7">K9-L9</f>
        <v>2938000</v>
      </c>
      <c r="N9" s="349">
        <v>0.5</v>
      </c>
      <c r="O9" s="305">
        <v>0</v>
      </c>
      <c r="P9" s="305">
        <v>1770000</v>
      </c>
      <c r="Q9" s="308">
        <v>1168000</v>
      </c>
      <c r="R9" s="308"/>
      <c r="S9" s="308"/>
      <c r="T9" s="308"/>
      <c r="U9" s="308"/>
      <c r="V9" s="308"/>
      <c r="W9" s="308"/>
      <c r="X9" s="308"/>
      <c r="Y9" s="368" t="b">
        <f t="shared" si="0"/>
        <v>1</v>
      </c>
      <c r="Z9" s="369">
        <f t="shared" si="1"/>
        <v>0.5</v>
      </c>
      <c r="AA9" s="370" t="b">
        <f t="shared" si="2"/>
        <v>1</v>
      </c>
      <c r="AB9" s="370" t="b">
        <f t="shared" si="3"/>
        <v>1</v>
      </c>
    </row>
    <row r="10" spans="1:28" s="194" customFormat="1" ht="33" customHeight="1">
      <c r="A10" s="319">
        <v>8</v>
      </c>
      <c r="B10" s="365" t="s">
        <v>364</v>
      </c>
      <c r="C10" s="320" t="s">
        <v>68</v>
      </c>
      <c r="D10" s="365" t="s">
        <v>146</v>
      </c>
      <c r="E10" s="378" t="s">
        <v>473</v>
      </c>
      <c r="F10" s="319" t="s">
        <v>299</v>
      </c>
      <c r="G10" s="379" t="s">
        <v>508</v>
      </c>
      <c r="H10" s="319" t="s">
        <v>122</v>
      </c>
      <c r="I10" s="324">
        <v>1.28</v>
      </c>
      <c r="J10" s="325" t="s">
        <v>447</v>
      </c>
      <c r="K10" s="380">
        <v>5797410</v>
      </c>
      <c r="L10" s="327">
        <f>K10*70%</f>
        <v>4058186.9999999995</v>
      </c>
      <c r="M10" s="328">
        <f t="shared" si="7"/>
        <v>1739223.0000000005</v>
      </c>
      <c r="N10" s="350">
        <v>0.7</v>
      </c>
      <c r="O10" s="327">
        <v>0</v>
      </c>
      <c r="P10" s="327">
        <v>4058186.9999999995</v>
      </c>
      <c r="Q10" s="326"/>
      <c r="R10" s="326"/>
      <c r="S10" s="326"/>
      <c r="T10" s="326"/>
      <c r="U10" s="326"/>
      <c r="V10" s="326"/>
      <c r="W10" s="326"/>
      <c r="X10" s="326"/>
      <c r="Y10" s="368" t="b">
        <f t="shared" si="0"/>
        <v>1</v>
      </c>
      <c r="Z10" s="369">
        <f t="shared" si="1"/>
        <v>0.7</v>
      </c>
      <c r="AA10" s="370" t="b">
        <f t="shared" si="2"/>
        <v>1</v>
      </c>
      <c r="AB10" s="370" t="b">
        <f t="shared" si="3"/>
        <v>1</v>
      </c>
    </row>
    <row r="11" spans="1:28" s="156" customFormat="1" ht="22.5">
      <c r="A11" s="312">
        <v>9</v>
      </c>
      <c r="B11" s="381" t="s">
        <v>498</v>
      </c>
      <c r="C11" s="313" t="s">
        <v>67</v>
      </c>
      <c r="D11" s="312" t="s">
        <v>80</v>
      </c>
      <c r="E11" s="382">
        <v>2464011</v>
      </c>
      <c r="F11" s="296" t="s">
        <v>319</v>
      </c>
      <c r="G11" s="372" t="s">
        <v>489</v>
      </c>
      <c r="H11" s="296" t="s">
        <v>122</v>
      </c>
      <c r="I11" s="317" t="s">
        <v>507</v>
      </c>
      <c r="J11" s="318" t="s">
        <v>421</v>
      </c>
      <c r="K11" s="383">
        <v>10208647</v>
      </c>
      <c r="L11" s="305">
        <f>K11*50%</f>
        <v>5104323.5</v>
      </c>
      <c r="M11" s="304">
        <f t="shared" si="7"/>
        <v>5104323.5</v>
      </c>
      <c r="N11" s="349">
        <v>0.5</v>
      </c>
      <c r="O11" s="305">
        <v>0</v>
      </c>
      <c r="P11" s="305">
        <v>2318392</v>
      </c>
      <c r="Q11" s="308">
        <v>2785931.5</v>
      </c>
      <c r="R11" s="308"/>
      <c r="S11" s="308"/>
      <c r="T11" s="308"/>
      <c r="U11" s="308"/>
      <c r="V11" s="308"/>
      <c r="W11" s="308"/>
      <c r="X11" s="308"/>
      <c r="Y11" s="368" t="b">
        <f t="shared" si="0"/>
        <v>1</v>
      </c>
      <c r="Z11" s="369">
        <f t="shared" si="1"/>
        <v>0.5</v>
      </c>
      <c r="AA11" s="370" t="b">
        <f t="shared" si="2"/>
        <v>1</v>
      </c>
      <c r="AB11" s="370" t="b">
        <f t="shared" si="3"/>
        <v>1</v>
      </c>
    </row>
    <row r="12" spans="1:28" ht="22.5">
      <c r="A12" s="365">
        <v>10</v>
      </c>
      <c r="B12" s="384" t="s">
        <v>499</v>
      </c>
      <c r="C12" s="320" t="s">
        <v>68</v>
      </c>
      <c r="D12" s="375" t="s">
        <v>482</v>
      </c>
      <c r="E12" s="378">
        <v>2404122</v>
      </c>
      <c r="F12" s="319" t="s">
        <v>431</v>
      </c>
      <c r="G12" s="376" t="s">
        <v>490</v>
      </c>
      <c r="H12" s="319" t="s">
        <v>124</v>
      </c>
      <c r="I12" s="324">
        <v>1.2689999999999999</v>
      </c>
      <c r="J12" s="325" t="s">
        <v>408</v>
      </c>
      <c r="K12" s="385">
        <v>3059987</v>
      </c>
      <c r="L12" s="327">
        <f t="shared" ref="L12:L17" si="8">K12*50%</f>
        <v>1529993.5</v>
      </c>
      <c r="M12" s="328">
        <f t="shared" si="7"/>
        <v>1529993.5</v>
      </c>
      <c r="N12" s="350">
        <v>0.5</v>
      </c>
      <c r="O12" s="327">
        <v>0</v>
      </c>
      <c r="P12" s="327">
        <v>1529993.5</v>
      </c>
      <c r="Q12" s="326"/>
      <c r="R12" s="326"/>
      <c r="S12" s="326"/>
      <c r="T12" s="326"/>
      <c r="U12" s="326"/>
      <c r="V12" s="326"/>
      <c r="W12" s="326"/>
      <c r="X12" s="326"/>
      <c r="Y12" s="368" t="b">
        <f t="shared" si="0"/>
        <v>1</v>
      </c>
      <c r="Z12" s="369">
        <f t="shared" si="1"/>
        <v>0.5</v>
      </c>
      <c r="AA12" s="370" t="b">
        <f t="shared" si="2"/>
        <v>1</v>
      </c>
      <c r="AB12" s="370" t="b">
        <f t="shared" si="3"/>
        <v>1</v>
      </c>
    </row>
    <row r="13" spans="1:28" s="156" customFormat="1" ht="45">
      <c r="A13" s="312">
        <v>11</v>
      </c>
      <c r="B13" s="381" t="s">
        <v>500</v>
      </c>
      <c r="C13" s="313" t="s">
        <v>67</v>
      </c>
      <c r="D13" s="312" t="s">
        <v>483</v>
      </c>
      <c r="E13" s="382" t="s">
        <v>475</v>
      </c>
      <c r="F13" s="296" t="s">
        <v>334</v>
      </c>
      <c r="G13" s="372" t="s">
        <v>491</v>
      </c>
      <c r="H13" s="296" t="s">
        <v>124</v>
      </c>
      <c r="I13" s="317">
        <v>5.3680000000000003</v>
      </c>
      <c r="J13" s="318" t="s">
        <v>509</v>
      </c>
      <c r="K13" s="383">
        <v>10967214</v>
      </c>
      <c r="L13" s="305">
        <f t="shared" si="8"/>
        <v>5483607</v>
      </c>
      <c r="M13" s="304">
        <f t="shared" si="7"/>
        <v>5483607</v>
      </c>
      <c r="N13" s="349">
        <v>0.5</v>
      </c>
      <c r="O13" s="305">
        <v>0</v>
      </c>
      <c r="P13" s="305">
        <v>3092924.5</v>
      </c>
      <c r="Q13" s="308">
        <v>2390682.5</v>
      </c>
      <c r="R13" s="308"/>
      <c r="S13" s="308"/>
      <c r="T13" s="308"/>
      <c r="U13" s="308"/>
      <c r="V13" s="308"/>
      <c r="W13" s="308"/>
      <c r="X13" s="308"/>
      <c r="Y13" s="368" t="b">
        <f t="shared" si="0"/>
        <v>1</v>
      </c>
      <c r="Z13" s="369">
        <f t="shared" si="1"/>
        <v>0.5</v>
      </c>
      <c r="AA13" s="370" t="b">
        <f t="shared" si="2"/>
        <v>1</v>
      </c>
      <c r="AB13" s="370" t="b">
        <f t="shared" si="3"/>
        <v>1</v>
      </c>
    </row>
    <row r="14" spans="1:28" s="156" customFormat="1" ht="22.5">
      <c r="A14" s="312">
        <v>12</v>
      </c>
      <c r="B14" s="381" t="s">
        <v>502</v>
      </c>
      <c r="C14" s="313" t="s">
        <v>67</v>
      </c>
      <c r="D14" s="312" t="s">
        <v>485</v>
      </c>
      <c r="E14" s="382" t="s">
        <v>476</v>
      </c>
      <c r="F14" s="296" t="s">
        <v>334</v>
      </c>
      <c r="G14" s="372" t="s">
        <v>493</v>
      </c>
      <c r="H14" s="296" t="s">
        <v>122</v>
      </c>
      <c r="I14" s="317">
        <v>0.97199999999999998</v>
      </c>
      <c r="J14" s="318" t="s">
        <v>510</v>
      </c>
      <c r="K14" s="385">
        <v>4327666</v>
      </c>
      <c r="L14" s="305">
        <f t="shared" si="8"/>
        <v>2163833</v>
      </c>
      <c r="M14" s="304">
        <f t="shared" si="7"/>
        <v>2163833</v>
      </c>
      <c r="N14" s="349">
        <v>0.5</v>
      </c>
      <c r="O14" s="305">
        <v>0</v>
      </c>
      <c r="P14" s="305">
        <v>923049</v>
      </c>
      <c r="Q14" s="308">
        <v>1240784</v>
      </c>
      <c r="R14" s="308"/>
      <c r="S14" s="308"/>
      <c r="T14" s="308"/>
      <c r="U14" s="308"/>
      <c r="V14" s="308"/>
      <c r="W14" s="308"/>
      <c r="X14" s="308"/>
      <c r="Y14" s="368" t="b">
        <f t="shared" si="0"/>
        <v>1</v>
      </c>
      <c r="Z14" s="369">
        <f t="shared" si="1"/>
        <v>0.5</v>
      </c>
      <c r="AA14" s="370" t="b">
        <f t="shared" si="2"/>
        <v>1</v>
      </c>
      <c r="AB14" s="370" t="b">
        <f t="shared" si="3"/>
        <v>1</v>
      </c>
    </row>
    <row r="15" spans="1:28" ht="22.5">
      <c r="A15" s="365">
        <v>13</v>
      </c>
      <c r="B15" s="384" t="s">
        <v>503</v>
      </c>
      <c r="C15" s="320" t="s">
        <v>68</v>
      </c>
      <c r="D15" s="375" t="s">
        <v>486</v>
      </c>
      <c r="E15" s="378" t="s">
        <v>471</v>
      </c>
      <c r="F15" s="319" t="s">
        <v>427</v>
      </c>
      <c r="G15" s="376" t="s">
        <v>494</v>
      </c>
      <c r="H15" s="319" t="s">
        <v>122</v>
      </c>
      <c r="I15" s="324">
        <v>0.29799999999999999</v>
      </c>
      <c r="J15" s="325" t="s">
        <v>455</v>
      </c>
      <c r="K15" s="385">
        <v>882544</v>
      </c>
      <c r="L15" s="327">
        <f t="shared" si="8"/>
        <v>441272</v>
      </c>
      <c r="M15" s="328">
        <f t="shared" si="7"/>
        <v>441272</v>
      </c>
      <c r="N15" s="350">
        <v>0.5</v>
      </c>
      <c r="O15" s="327">
        <v>0</v>
      </c>
      <c r="P15" s="327">
        <v>441272</v>
      </c>
      <c r="Q15" s="326"/>
      <c r="R15" s="326"/>
      <c r="S15" s="326"/>
      <c r="T15" s="326"/>
      <c r="U15" s="326"/>
      <c r="V15" s="326"/>
      <c r="W15" s="326"/>
      <c r="X15" s="326"/>
      <c r="Y15" s="368" t="b">
        <f t="shared" si="0"/>
        <v>1</v>
      </c>
      <c r="Z15" s="369">
        <f t="shared" si="1"/>
        <v>0.5</v>
      </c>
      <c r="AA15" s="370" t="b">
        <f t="shared" si="2"/>
        <v>1</v>
      </c>
      <c r="AB15" s="370" t="b">
        <f t="shared" si="3"/>
        <v>1</v>
      </c>
    </row>
    <row r="16" spans="1:28" s="156" customFormat="1" ht="22.5">
      <c r="A16" s="312">
        <v>14</v>
      </c>
      <c r="B16" s="381" t="s">
        <v>504</v>
      </c>
      <c r="C16" s="313" t="s">
        <v>67</v>
      </c>
      <c r="D16" s="312" t="s">
        <v>487</v>
      </c>
      <c r="E16" s="382" t="s">
        <v>477</v>
      </c>
      <c r="F16" s="296" t="s">
        <v>313</v>
      </c>
      <c r="G16" s="372" t="s">
        <v>495</v>
      </c>
      <c r="H16" s="296" t="s">
        <v>124</v>
      </c>
      <c r="I16" s="317">
        <v>0.88800000000000001</v>
      </c>
      <c r="J16" s="318" t="s">
        <v>511</v>
      </c>
      <c r="K16" s="385">
        <v>4362898</v>
      </c>
      <c r="L16" s="305">
        <f>K16*55%</f>
        <v>2399593.9000000004</v>
      </c>
      <c r="M16" s="304">
        <f t="shared" si="7"/>
        <v>1963304.0999999996</v>
      </c>
      <c r="N16" s="349">
        <v>0.55000000000000004</v>
      </c>
      <c r="O16" s="305">
        <v>0</v>
      </c>
      <c r="P16" s="305">
        <v>1799695.1500000001</v>
      </c>
      <c r="Q16" s="308">
        <v>599898.75</v>
      </c>
      <c r="R16" s="308"/>
      <c r="S16" s="308"/>
      <c r="T16" s="308"/>
      <c r="U16" s="308"/>
      <c r="V16" s="308"/>
      <c r="W16" s="308"/>
      <c r="X16" s="308"/>
      <c r="Y16" s="368" t="b">
        <f t="shared" si="0"/>
        <v>1</v>
      </c>
      <c r="Z16" s="369">
        <f t="shared" si="1"/>
        <v>0.55000000000000004</v>
      </c>
      <c r="AA16" s="370" t="b">
        <f t="shared" si="2"/>
        <v>1</v>
      </c>
      <c r="AB16" s="370" t="b">
        <f t="shared" si="3"/>
        <v>1</v>
      </c>
    </row>
    <row r="17" spans="1:28" ht="22.5">
      <c r="A17" s="365">
        <v>15</v>
      </c>
      <c r="B17" s="384" t="s">
        <v>505</v>
      </c>
      <c r="C17" s="320" t="s">
        <v>68</v>
      </c>
      <c r="D17" s="375" t="s">
        <v>488</v>
      </c>
      <c r="E17" s="378" t="s">
        <v>467</v>
      </c>
      <c r="F17" s="319" t="s">
        <v>468</v>
      </c>
      <c r="G17" s="376" t="s">
        <v>496</v>
      </c>
      <c r="H17" s="319" t="s">
        <v>122</v>
      </c>
      <c r="I17" s="324">
        <v>0.34300000000000003</v>
      </c>
      <c r="J17" s="325" t="s">
        <v>512</v>
      </c>
      <c r="K17" s="385">
        <v>5550689</v>
      </c>
      <c r="L17" s="327">
        <f t="shared" si="8"/>
        <v>2775344.5</v>
      </c>
      <c r="M17" s="328">
        <f t="shared" si="7"/>
        <v>2775344.5</v>
      </c>
      <c r="N17" s="350">
        <v>0.5</v>
      </c>
      <c r="O17" s="327">
        <v>0</v>
      </c>
      <c r="P17" s="327">
        <v>2775344.5</v>
      </c>
      <c r="Q17" s="326"/>
      <c r="R17" s="326"/>
      <c r="S17" s="326"/>
      <c r="T17" s="326"/>
      <c r="U17" s="326"/>
      <c r="V17" s="326"/>
      <c r="W17" s="326"/>
      <c r="X17" s="326"/>
      <c r="Y17" s="368" t="b">
        <f t="shared" si="0"/>
        <v>1</v>
      </c>
      <c r="Z17" s="369">
        <f t="shared" si="1"/>
        <v>0.5</v>
      </c>
      <c r="AA17" s="370" t="b">
        <f t="shared" si="2"/>
        <v>1</v>
      </c>
      <c r="AB17" s="370" t="b">
        <f t="shared" si="3"/>
        <v>1</v>
      </c>
    </row>
    <row r="18" spans="1:28" s="156" customFormat="1" ht="33.75">
      <c r="A18" s="312">
        <v>16</v>
      </c>
      <c r="B18" s="381" t="s">
        <v>506</v>
      </c>
      <c r="C18" s="313" t="s">
        <v>67</v>
      </c>
      <c r="D18" s="312" t="s">
        <v>323</v>
      </c>
      <c r="E18" s="382" t="s">
        <v>474</v>
      </c>
      <c r="F18" s="296" t="s">
        <v>324</v>
      </c>
      <c r="G18" s="372" t="s">
        <v>497</v>
      </c>
      <c r="H18" s="296" t="s">
        <v>122</v>
      </c>
      <c r="I18" s="317">
        <v>1.214</v>
      </c>
      <c r="J18" s="318" t="s">
        <v>513</v>
      </c>
      <c r="K18" s="385">
        <v>5649583</v>
      </c>
      <c r="L18" s="305">
        <f>K18*60%</f>
        <v>3389749.8</v>
      </c>
      <c r="M18" s="304">
        <f>K18-L18</f>
        <v>2259833.2000000002</v>
      </c>
      <c r="N18" s="349">
        <v>0.6</v>
      </c>
      <c r="O18" s="305">
        <v>0</v>
      </c>
      <c r="P18" s="305">
        <v>1129916.3999999999</v>
      </c>
      <c r="Q18" s="308">
        <v>1129916.3999999999</v>
      </c>
      <c r="R18" s="308">
        <v>1129917</v>
      </c>
      <c r="S18" s="308"/>
      <c r="T18" s="308"/>
      <c r="U18" s="308"/>
      <c r="V18" s="308"/>
      <c r="W18" s="308"/>
      <c r="X18" s="308"/>
      <c r="Y18" s="368" t="b">
        <f t="shared" si="0"/>
        <v>1</v>
      </c>
      <c r="Z18" s="369">
        <f t="shared" si="1"/>
        <v>0.6</v>
      </c>
      <c r="AA18" s="370" t="b">
        <f t="shared" si="2"/>
        <v>1</v>
      </c>
      <c r="AB18" s="370" t="b">
        <f t="shared" si="3"/>
        <v>1</v>
      </c>
    </row>
    <row r="19" spans="1:28" ht="22.5">
      <c r="A19" s="365">
        <v>17</v>
      </c>
      <c r="B19" s="384" t="s">
        <v>515</v>
      </c>
      <c r="C19" s="320" t="s">
        <v>68</v>
      </c>
      <c r="D19" s="384" t="s">
        <v>514</v>
      </c>
      <c r="E19" s="378" t="s">
        <v>469</v>
      </c>
      <c r="F19" s="319" t="s">
        <v>310</v>
      </c>
      <c r="G19" s="376" t="s">
        <v>517</v>
      </c>
      <c r="H19" s="319" t="s">
        <v>124</v>
      </c>
      <c r="I19" s="324">
        <v>1.0840000000000001</v>
      </c>
      <c r="J19" s="325" t="s">
        <v>419</v>
      </c>
      <c r="K19" s="385">
        <v>2002247</v>
      </c>
      <c r="L19" s="327">
        <f>K19*50%</f>
        <v>1001123.5</v>
      </c>
      <c r="M19" s="328">
        <f>K19-L19</f>
        <v>1001123.5</v>
      </c>
      <c r="N19" s="350">
        <v>0.5</v>
      </c>
      <c r="O19" s="327">
        <v>0</v>
      </c>
      <c r="P19" s="327">
        <v>1001123.5</v>
      </c>
      <c r="Q19" s="326"/>
      <c r="R19" s="326"/>
      <c r="S19" s="326"/>
      <c r="T19" s="326"/>
      <c r="U19" s="326"/>
      <c r="V19" s="326"/>
      <c r="W19" s="326"/>
      <c r="X19" s="326"/>
      <c r="Y19" s="368" t="b">
        <f t="shared" si="0"/>
        <v>1</v>
      </c>
      <c r="Z19" s="369">
        <f t="shared" si="1"/>
        <v>0.5</v>
      </c>
      <c r="AA19" s="370" t="b">
        <f t="shared" si="2"/>
        <v>1</v>
      </c>
      <c r="AB19" s="370" t="b">
        <f t="shared" si="3"/>
        <v>1</v>
      </c>
    </row>
    <row r="20" spans="1:28" ht="22.5">
      <c r="A20" s="386" t="s">
        <v>530</v>
      </c>
      <c r="B20" s="384" t="s">
        <v>516</v>
      </c>
      <c r="C20" s="320" t="s">
        <v>68</v>
      </c>
      <c r="D20" s="384" t="s">
        <v>519</v>
      </c>
      <c r="E20" s="378" t="s">
        <v>470</v>
      </c>
      <c r="F20" s="319" t="s">
        <v>427</v>
      </c>
      <c r="G20" s="376" t="s">
        <v>518</v>
      </c>
      <c r="H20" s="319" t="s">
        <v>124</v>
      </c>
      <c r="I20" s="324">
        <v>0.40100000000000002</v>
      </c>
      <c r="J20" s="325" t="s">
        <v>453</v>
      </c>
      <c r="K20" s="385">
        <v>4423784</v>
      </c>
      <c r="L20" s="327">
        <v>556415.26000000536</v>
      </c>
      <c r="M20" s="328">
        <f t="shared" ref="M20" si="9">K20-L20</f>
        <v>3867368.7399999946</v>
      </c>
      <c r="N20" s="350">
        <v>0.5</v>
      </c>
      <c r="O20" s="327">
        <v>0</v>
      </c>
      <c r="P20" s="327">
        <v>556415.26000000536</v>
      </c>
      <c r="Q20" s="326"/>
      <c r="R20" s="326"/>
      <c r="S20" s="326"/>
      <c r="T20" s="326"/>
      <c r="U20" s="326"/>
      <c r="V20" s="326"/>
      <c r="W20" s="326"/>
      <c r="X20" s="326"/>
      <c r="Y20" s="368" t="b">
        <f t="shared" si="0"/>
        <v>1</v>
      </c>
      <c r="Z20" s="369">
        <f t="shared" si="1"/>
        <v>0.1258</v>
      </c>
      <c r="AA20" s="370" t="b">
        <f t="shared" si="2"/>
        <v>0</v>
      </c>
      <c r="AB20" s="370" t="b">
        <f t="shared" si="3"/>
        <v>1</v>
      </c>
    </row>
    <row r="21" spans="1:28" ht="20.100000000000001" customHeight="1">
      <c r="A21" s="528" t="s">
        <v>44</v>
      </c>
      <c r="B21" s="529"/>
      <c r="C21" s="529"/>
      <c r="D21" s="529"/>
      <c r="E21" s="529"/>
      <c r="F21" s="529"/>
      <c r="G21" s="529"/>
      <c r="H21" s="530"/>
      <c r="I21" s="387">
        <f>SUM(I3:I20)</f>
        <v>23.048999999999999</v>
      </c>
      <c r="J21" s="388" t="s">
        <v>14</v>
      </c>
      <c r="K21" s="389">
        <f>SUM(K3:K20)</f>
        <v>97421662</v>
      </c>
      <c r="L21" s="390">
        <f>SUM(L3:L20)</f>
        <v>48997939.460000001</v>
      </c>
      <c r="M21" s="390">
        <f>SUM(M3:M20)</f>
        <v>48423722.539999999</v>
      </c>
      <c r="N21" s="391" t="s">
        <v>14</v>
      </c>
      <c r="O21" s="392">
        <f>SUM(O8:O17)</f>
        <v>0</v>
      </c>
      <c r="P21" s="392">
        <f t="shared" ref="P21:X21" si="10">SUM(P3:P20)</f>
        <v>32088035.810000002</v>
      </c>
      <c r="Q21" s="392">
        <f t="shared" si="10"/>
        <v>11815213.15</v>
      </c>
      <c r="R21" s="392">
        <f t="shared" si="10"/>
        <v>5094690.5</v>
      </c>
      <c r="S21" s="392">
        <f t="shared" si="10"/>
        <v>0</v>
      </c>
      <c r="T21" s="392">
        <f t="shared" si="10"/>
        <v>0</v>
      </c>
      <c r="U21" s="392">
        <f t="shared" si="10"/>
        <v>0</v>
      </c>
      <c r="V21" s="392">
        <f t="shared" si="10"/>
        <v>0</v>
      </c>
      <c r="W21" s="392">
        <f t="shared" si="10"/>
        <v>0</v>
      </c>
      <c r="X21" s="392">
        <f t="shared" si="10"/>
        <v>0</v>
      </c>
      <c r="Y21" s="368" t="b">
        <f t="shared" si="0"/>
        <v>1</v>
      </c>
      <c r="Z21" s="369">
        <f t="shared" si="1"/>
        <v>0.50290000000000001</v>
      </c>
      <c r="AA21" s="370" t="b">
        <f t="shared" si="2"/>
        <v>0</v>
      </c>
      <c r="AB21" s="370" t="b">
        <f t="shared" si="3"/>
        <v>1</v>
      </c>
    </row>
    <row r="22" spans="1:28" ht="20.100000000000001" customHeight="1">
      <c r="A22" s="528" t="s">
        <v>38</v>
      </c>
      <c r="B22" s="529"/>
      <c r="C22" s="529"/>
      <c r="D22" s="529"/>
      <c r="E22" s="529"/>
      <c r="F22" s="529"/>
      <c r="G22" s="529"/>
      <c r="H22" s="530"/>
      <c r="I22" s="387">
        <f>SUMIF($C$3:$C$20,"N",I3:I20)</f>
        <v>7.3000000000000007</v>
      </c>
      <c r="J22" s="388" t="s">
        <v>14</v>
      </c>
      <c r="K22" s="389">
        <f>SUMIF($C$3:$C$20,"N",K3:K20)</f>
        <v>42600107</v>
      </c>
      <c r="L22" s="390">
        <f>SUMIF($C$3:$C$20,"N",L3:L20)</f>
        <v>20804058.760000005</v>
      </c>
      <c r="M22" s="390">
        <f>SUMIF($C$3:$C$20,"N",M3:M20)</f>
        <v>21796048.239999995</v>
      </c>
      <c r="N22" s="391" t="s">
        <v>14</v>
      </c>
      <c r="O22" s="392">
        <f>SUMIF($C$8:$C$17,"N",O8:O17)</f>
        <v>0</v>
      </c>
      <c r="P22" s="392">
        <f t="shared" ref="P22:X22" si="11">SUMIF($C$3:$C$20,"N",P3:P20)</f>
        <v>20804058.760000005</v>
      </c>
      <c r="Q22" s="392">
        <f t="shared" si="11"/>
        <v>0</v>
      </c>
      <c r="R22" s="392">
        <f t="shared" si="11"/>
        <v>0</v>
      </c>
      <c r="S22" s="392">
        <f t="shared" si="11"/>
        <v>0</v>
      </c>
      <c r="T22" s="392">
        <f t="shared" si="11"/>
        <v>0</v>
      </c>
      <c r="U22" s="392">
        <f t="shared" si="11"/>
        <v>0</v>
      </c>
      <c r="V22" s="392">
        <f t="shared" si="11"/>
        <v>0</v>
      </c>
      <c r="W22" s="392">
        <f t="shared" si="11"/>
        <v>0</v>
      </c>
      <c r="X22" s="392">
        <f t="shared" si="11"/>
        <v>0</v>
      </c>
      <c r="Y22" s="368" t="b">
        <f t="shared" si="0"/>
        <v>1</v>
      </c>
      <c r="Z22" s="369">
        <f t="shared" si="1"/>
        <v>0.4884</v>
      </c>
      <c r="AA22" s="370" t="b">
        <f t="shared" si="2"/>
        <v>0</v>
      </c>
      <c r="AB22" s="370" t="b">
        <f t="shared" si="3"/>
        <v>1</v>
      </c>
    </row>
    <row r="23" spans="1:28" ht="20.100000000000001" customHeight="1">
      <c r="A23" s="525" t="s">
        <v>39</v>
      </c>
      <c r="B23" s="526"/>
      <c r="C23" s="526"/>
      <c r="D23" s="526"/>
      <c r="E23" s="526"/>
      <c r="F23" s="526"/>
      <c r="G23" s="526"/>
      <c r="H23" s="527"/>
      <c r="I23" s="393">
        <f>SUMIF($C$3:$C$20,"W",I3:I20)</f>
        <v>15.749000000000001</v>
      </c>
      <c r="J23" s="394" t="s">
        <v>14</v>
      </c>
      <c r="K23" s="395">
        <f>SUMIF($C$3:$C$20,"W",K3:K20)</f>
        <v>54821555</v>
      </c>
      <c r="L23" s="396">
        <f>SUMIF($C$3:$C$20,"W",L3:L20)</f>
        <v>28193880.699999999</v>
      </c>
      <c r="M23" s="396">
        <f>SUMIF($C$3:$C$20,"W",M3:M20)</f>
        <v>26627674.300000001</v>
      </c>
      <c r="N23" s="397" t="s">
        <v>14</v>
      </c>
      <c r="O23" s="398">
        <f>SUMIF($C$8:$C$17,"W",O8:O17)</f>
        <v>0</v>
      </c>
      <c r="P23" s="398">
        <f t="shared" ref="P23:X23" si="12">SUMIF($C$3:$C$20,"W",P3:P20)</f>
        <v>11283977.050000001</v>
      </c>
      <c r="Q23" s="398">
        <f t="shared" si="12"/>
        <v>11815213.15</v>
      </c>
      <c r="R23" s="398">
        <f t="shared" si="12"/>
        <v>5094690.5</v>
      </c>
      <c r="S23" s="398">
        <f t="shared" si="12"/>
        <v>0</v>
      </c>
      <c r="T23" s="398">
        <f t="shared" si="12"/>
        <v>0</v>
      </c>
      <c r="U23" s="398">
        <f t="shared" si="12"/>
        <v>0</v>
      </c>
      <c r="V23" s="398">
        <f t="shared" si="12"/>
        <v>0</v>
      </c>
      <c r="W23" s="398">
        <f t="shared" si="12"/>
        <v>0</v>
      </c>
      <c r="X23" s="398">
        <f t="shared" si="12"/>
        <v>0</v>
      </c>
      <c r="Y23" s="368" t="b">
        <f t="shared" si="0"/>
        <v>1</v>
      </c>
      <c r="Z23" s="369">
        <f t="shared" si="1"/>
        <v>0.51429999999999998</v>
      </c>
      <c r="AA23" s="370" t="b">
        <f t="shared" si="2"/>
        <v>0</v>
      </c>
      <c r="AB23" s="370" t="b">
        <f t="shared" si="3"/>
        <v>1</v>
      </c>
    </row>
    <row r="24" spans="1:28" ht="24" customHeight="1">
      <c r="A24" s="522" t="s">
        <v>25</v>
      </c>
      <c r="B24" s="523"/>
      <c r="C24" s="523"/>
      <c r="D24" s="524"/>
      <c r="E24" s="362"/>
      <c r="F24" s="363"/>
      <c r="G24" s="362"/>
      <c r="H24" s="362"/>
      <c r="I24" s="362"/>
      <c r="J24" s="363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  <c r="Y24" s="362"/>
      <c r="Z24" s="362"/>
      <c r="AA24" s="362"/>
      <c r="AB24" s="400"/>
    </row>
    <row r="25" spans="1:28" ht="24" customHeight="1">
      <c r="A25" s="519" t="s">
        <v>24</v>
      </c>
      <c r="B25" s="520"/>
      <c r="C25" s="520"/>
      <c r="D25" s="520"/>
      <c r="E25" s="362"/>
      <c r="F25" s="363"/>
      <c r="G25" s="362"/>
      <c r="H25" s="362"/>
      <c r="I25" s="362"/>
      <c r="J25" s="363"/>
      <c r="K25" s="399"/>
      <c r="L25" s="362"/>
      <c r="M25" s="362"/>
      <c r="N25" s="363"/>
      <c r="O25" s="362"/>
      <c r="P25" s="362"/>
      <c r="Q25" s="362"/>
      <c r="R25" s="362"/>
      <c r="S25" s="362"/>
      <c r="T25" s="362"/>
      <c r="U25" s="362"/>
      <c r="V25" s="362"/>
      <c r="W25" s="362"/>
      <c r="X25" s="362"/>
      <c r="Y25" s="362"/>
      <c r="Z25" s="362"/>
      <c r="AA25" s="362"/>
      <c r="AB25" s="400"/>
    </row>
    <row r="26" spans="1:28" ht="12.75" customHeight="1">
      <c r="A26" s="519" t="s">
        <v>35</v>
      </c>
      <c r="B26" s="521"/>
      <c r="C26" s="521"/>
      <c r="D26" s="401"/>
      <c r="E26" s="362"/>
      <c r="F26" s="363"/>
      <c r="G26" s="362"/>
      <c r="H26" s="362"/>
      <c r="I26" s="362"/>
      <c r="J26" s="363"/>
      <c r="K26" s="399"/>
      <c r="L26" s="362"/>
      <c r="M26" s="362"/>
      <c r="N26" s="363"/>
      <c r="O26" s="362"/>
      <c r="P26" s="362"/>
      <c r="Q26" s="362"/>
      <c r="R26" s="362"/>
      <c r="S26" s="362"/>
      <c r="T26" s="362"/>
      <c r="U26" s="362"/>
      <c r="V26" s="362"/>
      <c r="W26" s="362"/>
      <c r="X26" s="362"/>
      <c r="Y26" s="362"/>
      <c r="Z26" s="362"/>
      <c r="AA26" s="362"/>
      <c r="AB26" s="400"/>
    </row>
    <row r="27" spans="1:28" ht="12.75" customHeight="1">
      <c r="A27" s="402" t="s">
        <v>521</v>
      </c>
      <c r="B27" s="362"/>
      <c r="C27" s="362"/>
      <c r="D27" s="362"/>
      <c r="E27" s="362"/>
      <c r="F27" s="363"/>
      <c r="G27" s="362"/>
      <c r="H27" s="362"/>
      <c r="I27" s="362"/>
      <c r="J27" s="363"/>
      <c r="K27" s="399"/>
      <c r="L27" s="362"/>
      <c r="M27" s="362"/>
      <c r="N27" s="363"/>
      <c r="O27" s="362"/>
      <c r="P27" s="362"/>
      <c r="Q27" s="362"/>
      <c r="R27" s="362"/>
      <c r="S27" s="362"/>
      <c r="T27" s="362"/>
      <c r="U27" s="362"/>
      <c r="V27" s="362"/>
      <c r="W27" s="362"/>
      <c r="X27" s="362"/>
      <c r="Y27" s="362"/>
      <c r="Z27" s="362"/>
      <c r="AA27" s="362"/>
      <c r="AB27" s="362"/>
    </row>
    <row r="28" spans="1:28">
      <c r="A28" s="257"/>
    </row>
    <row r="29" spans="1:28">
      <c r="A29" s="142"/>
    </row>
  </sheetData>
  <mergeCells count="21"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conditionalFormatting sqref="AB24:AB26 Y3:AB23">
    <cfRule type="cellIs" dxfId="0" priority="52" operator="equal">
      <formula>FALSE</formula>
    </cfRule>
  </conditionalFormatting>
  <dataValidations count="2">
    <dataValidation type="custom" allowBlank="1" showInputMessage="1" showErrorMessage="1" sqref="G3:G9 B3:B9 D3:D9 D11:D19 K10:K20 G11:G20 B11:B20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rochowskik</cp:lastModifiedBy>
  <cp:lastPrinted>2020-03-30T14:06:54Z</cp:lastPrinted>
  <dcterms:created xsi:type="dcterms:W3CDTF">2019-02-25T10:53:14Z</dcterms:created>
  <dcterms:modified xsi:type="dcterms:W3CDTF">2020-07-10T10:34:40Z</dcterms:modified>
</cp:coreProperties>
</file>