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podst'!$A$1:$AB$78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podst'!$A$1:$AA$45</definedName>
    <definedName name="_xlnm.Print_Area" localSheetId="0">'24 - śląskie'!$A$1:$O$38</definedName>
    <definedName name="_xlnm.Print_Area" localSheetId="2">'gm podst'!$A$1:$X$83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podst'!$A$1:$W$51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25725"/>
</workbook>
</file>

<file path=xl/calcChain.xml><?xml version="1.0" encoding="utf-8"?>
<calcChain xmlns="http://schemas.openxmlformats.org/spreadsheetml/2006/main">
  <c r="Y68" i="5"/>
  <c r="Z68"/>
  <c r="AA68" s="1"/>
  <c r="AB68"/>
  <c r="Y69"/>
  <c r="Z69"/>
  <c r="AA69" s="1"/>
  <c r="AB69"/>
  <c r="Y70"/>
  <c r="Z70"/>
  <c r="AA70" s="1"/>
  <c r="AB70"/>
  <c r="Y71"/>
  <c r="Z71"/>
  <c r="AA71" s="1"/>
  <c r="AB71"/>
  <c r="Y72"/>
  <c r="Z72"/>
  <c r="AA72" s="1"/>
  <c r="AB72"/>
  <c r="Y73"/>
  <c r="Z73"/>
  <c r="AA73" s="1"/>
  <c r="AB73"/>
  <c r="N3" l="1"/>
  <c r="M74"/>
  <c r="L73"/>
  <c r="M73" s="1"/>
  <c r="M72"/>
  <c r="L72"/>
  <c r="L71"/>
  <c r="M71" s="1"/>
  <c r="K30" l="1"/>
  <c r="L32" l="1"/>
  <c r="M33" i="3" l="1"/>
  <c r="P55" i="5" l="1"/>
  <c r="L41" i="3" l="1"/>
  <c r="L40"/>
  <c r="L38"/>
  <c r="X40" l="1"/>
  <c r="Y40"/>
  <c r="Z40" s="1"/>
  <c r="AA40"/>
  <c r="X37"/>
  <c r="Y37"/>
  <c r="Z37" s="1"/>
  <c r="X38"/>
  <c r="Y38"/>
  <c r="Z38" s="1"/>
  <c r="AA38"/>
  <c r="X39"/>
  <c r="Y39"/>
  <c r="Z39" s="1"/>
  <c r="AA39"/>
  <c r="L37"/>
  <c r="AA37" s="1"/>
  <c r="N9" i="5" l="1"/>
  <c r="M13" i="3"/>
  <c r="M9"/>
  <c r="M8"/>
  <c r="M4"/>
  <c r="K3" l="1"/>
  <c r="I23" i="6" l="1"/>
  <c r="I22"/>
  <c r="I21"/>
  <c r="K78" i="5"/>
  <c r="K77"/>
  <c r="I78"/>
  <c r="I77"/>
  <c r="I75"/>
  <c r="H43" i="3"/>
  <c r="H44"/>
  <c r="H45"/>
  <c r="H42"/>
  <c r="K29" l="1"/>
  <c r="K25"/>
  <c r="O25" l="1"/>
  <c r="L25"/>
  <c r="O29"/>
  <c r="L29"/>
  <c r="O75" i="5"/>
  <c r="P75"/>
  <c r="Q75"/>
  <c r="I76"/>
  <c r="L76"/>
  <c r="M76"/>
  <c r="O76"/>
  <c r="P76"/>
  <c r="Q76"/>
  <c r="O77"/>
  <c r="P77"/>
  <c r="Q77"/>
  <c r="O78"/>
  <c r="P78"/>
  <c r="Q78"/>
  <c r="O42" i="3" l="1"/>
  <c r="P42"/>
  <c r="Q42"/>
  <c r="R42"/>
  <c r="S42"/>
  <c r="T42"/>
  <c r="U42"/>
  <c r="V42"/>
  <c r="W42"/>
  <c r="O43"/>
  <c r="P43"/>
  <c r="Q43"/>
  <c r="R43"/>
  <c r="S43"/>
  <c r="T43"/>
  <c r="U43"/>
  <c r="V43"/>
  <c r="W43"/>
  <c r="O44"/>
  <c r="P44"/>
  <c r="Q44"/>
  <c r="R44"/>
  <c r="S44"/>
  <c r="T44"/>
  <c r="U44"/>
  <c r="V44"/>
  <c r="W44"/>
  <c r="O45"/>
  <c r="P45"/>
  <c r="Q45"/>
  <c r="R45"/>
  <c r="S45"/>
  <c r="T45"/>
  <c r="U45"/>
  <c r="V45"/>
  <c r="W45"/>
  <c r="N45"/>
  <c r="N44"/>
  <c r="J45"/>
  <c r="J44"/>
  <c r="J15" i="4"/>
  <c r="J14"/>
  <c r="R75" i="5"/>
  <c r="S75"/>
  <c r="T75"/>
  <c r="U75"/>
  <c r="V75"/>
  <c r="W75"/>
  <c r="X75"/>
  <c r="R76"/>
  <c r="S76"/>
  <c r="T76"/>
  <c r="U76"/>
  <c r="V76"/>
  <c r="W76"/>
  <c r="X76"/>
  <c r="R77"/>
  <c r="S77"/>
  <c r="T77"/>
  <c r="U77"/>
  <c r="V77"/>
  <c r="W77"/>
  <c r="X77"/>
  <c r="R78"/>
  <c r="S78"/>
  <c r="T78"/>
  <c r="U78"/>
  <c r="V78"/>
  <c r="W78"/>
  <c r="X78"/>
  <c r="J42" i="3"/>
  <c r="N15" i="4"/>
  <c r="N14"/>
  <c r="N13"/>
  <c r="N42" i="3"/>
  <c r="R21" i="6"/>
  <c r="S21"/>
  <c r="T21"/>
  <c r="U21"/>
  <c r="V21"/>
  <c r="W21"/>
  <c r="X21"/>
  <c r="R22"/>
  <c r="S22"/>
  <c r="T22"/>
  <c r="U22"/>
  <c r="V22"/>
  <c r="W22"/>
  <c r="X22"/>
  <c r="R23"/>
  <c r="S23"/>
  <c r="T23"/>
  <c r="U23"/>
  <c r="V23"/>
  <c r="W23"/>
  <c r="X23"/>
  <c r="Q21"/>
  <c r="Q22"/>
  <c r="Q23"/>
  <c r="P13" i="4"/>
  <c r="Q13"/>
  <c r="R13"/>
  <c r="S13"/>
  <c r="T13"/>
  <c r="U13"/>
  <c r="V13"/>
  <c r="W13"/>
  <c r="P14"/>
  <c r="Q14"/>
  <c r="R14"/>
  <c r="S14"/>
  <c r="T14"/>
  <c r="U14"/>
  <c r="V14"/>
  <c r="W14"/>
  <c r="P15"/>
  <c r="Q15"/>
  <c r="R15"/>
  <c r="S15"/>
  <c r="T15"/>
  <c r="U15"/>
  <c r="V15"/>
  <c r="W15"/>
  <c r="O15"/>
  <c r="O14"/>
  <c r="N43" i="3"/>
  <c r="L43"/>
  <c r="K43"/>
  <c r="J43"/>
  <c r="O18" i="7" l="1"/>
  <c r="N18"/>
  <c r="M18"/>
  <c r="L18"/>
  <c r="K18"/>
  <c r="J18"/>
  <c r="I18"/>
  <c r="H18"/>
  <c r="G18"/>
  <c r="O27"/>
  <c r="N27"/>
  <c r="M27"/>
  <c r="L27"/>
  <c r="K27"/>
  <c r="J27"/>
  <c r="I27"/>
  <c r="H27"/>
  <c r="G27"/>
  <c r="O28"/>
  <c r="N28"/>
  <c r="M28"/>
  <c r="L28"/>
  <c r="K28"/>
  <c r="J28"/>
  <c r="I28"/>
  <c r="H28"/>
  <c r="G28"/>
  <c r="F27"/>
  <c r="O26"/>
  <c r="N26"/>
  <c r="M26"/>
  <c r="L26"/>
  <c r="K26"/>
  <c r="J26"/>
  <c r="I26"/>
  <c r="H26"/>
  <c r="G26"/>
  <c r="F26"/>
  <c r="F28"/>
  <c r="O19"/>
  <c r="N19"/>
  <c r="M19"/>
  <c r="L19"/>
  <c r="K19"/>
  <c r="J19"/>
  <c r="I19"/>
  <c r="H19"/>
  <c r="G19"/>
  <c r="O21"/>
  <c r="N21"/>
  <c r="M21"/>
  <c r="L21"/>
  <c r="K21"/>
  <c r="J21"/>
  <c r="I21"/>
  <c r="H21"/>
  <c r="G21"/>
  <c r="O20"/>
  <c r="N20"/>
  <c r="M20"/>
  <c r="L20"/>
  <c r="K20"/>
  <c r="J20"/>
  <c r="I20"/>
  <c r="H20"/>
  <c r="G20"/>
  <c r="F21"/>
  <c r="F20"/>
  <c r="F19"/>
  <c r="F18"/>
  <c r="E19"/>
  <c r="D19"/>
  <c r="C21"/>
  <c r="C20"/>
  <c r="B21"/>
  <c r="B20"/>
  <c r="B19"/>
  <c r="O17"/>
  <c r="N17"/>
  <c r="L17"/>
  <c r="K17"/>
  <c r="J17"/>
  <c r="I17"/>
  <c r="H17"/>
  <c r="G17"/>
  <c r="O16"/>
  <c r="N16"/>
  <c r="L16"/>
  <c r="K16"/>
  <c r="J16"/>
  <c r="I16"/>
  <c r="H16"/>
  <c r="G16"/>
  <c r="O15"/>
  <c r="N15"/>
  <c r="M15"/>
  <c r="L15"/>
  <c r="K15"/>
  <c r="J15"/>
  <c r="I15"/>
  <c r="H15"/>
  <c r="G15"/>
  <c r="F17"/>
  <c r="F16"/>
  <c r="F15"/>
  <c r="C16"/>
  <c r="E15"/>
  <c r="D15"/>
  <c r="C15"/>
  <c r="O14"/>
  <c r="N14"/>
  <c r="L14"/>
  <c r="K14"/>
  <c r="J14"/>
  <c r="I14"/>
  <c r="H14"/>
  <c r="G14"/>
  <c r="F14"/>
  <c r="C14"/>
  <c r="B17"/>
  <c r="B16"/>
  <c r="B15"/>
  <c r="L47" l="1"/>
  <c r="J44"/>
  <c r="H47"/>
  <c r="O47"/>
  <c r="L44"/>
  <c r="N44"/>
  <c r="K47"/>
  <c r="H44"/>
  <c r="G47"/>
  <c r="O44"/>
  <c r="G44"/>
  <c r="K44"/>
  <c r="I44"/>
  <c r="I47"/>
  <c r="M47"/>
  <c r="F47"/>
  <c r="J47"/>
  <c r="N47"/>
  <c r="F45"/>
  <c r="H45"/>
  <c r="J45"/>
  <c r="L45"/>
  <c r="N45"/>
  <c r="G45"/>
  <c r="I45"/>
  <c r="K45"/>
  <c r="M45"/>
  <c r="O45"/>
  <c r="F44"/>
  <c r="X41" i="3"/>
  <c r="Y41"/>
  <c r="Z41" s="1"/>
  <c r="X3"/>
  <c r="Y3"/>
  <c r="Z3" s="1"/>
  <c r="AA3"/>
  <c r="X4"/>
  <c r="Y4"/>
  <c r="Z4" s="1"/>
  <c r="AA4"/>
  <c r="X5"/>
  <c r="Y5"/>
  <c r="Z5" s="1"/>
  <c r="AA5"/>
  <c r="X6"/>
  <c r="Y6"/>
  <c r="Z6" s="1"/>
  <c r="AA6"/>
  <c r="X7"/>
  <c r="Y7"/>
  <c r="Z7" s="1"/>
  <c r="AA7"/>
  <c r="X8"/>
  <c r="Y8"/>
  <c r="Z8" s="1"/>
  <c r="AA8"/>
  <c r="X9"/>
  <c r="Y9"/>
  <c r="Z9" s="1"/>
  <c r="AA9"/>
  <c r="X10"/>
  <c r="Y10"/>
  <c r="Z10" s="1"/>
  <c r="AA10"/>
  <c r="X11"/>
  <c r="Y11"/>
  <c r="Z11" s="1"/>
  <c r="AA11"/>
  <c r="X12"/>
  <c r="Y12"/>
  <c r="Z12" s="1"/>
  <c r="AA12"/>
  <c r="X13"/>
  <c r="Y13"/>
  <c r="Z13" s="1"/>
  <c r="AA13"/>
  <c r="X14"/>
  <c r="Y14"/>
  <c r="Z14" s="1"/>
  <c r="AA14"/>
  <c r="X15"/>
  <c r="Y15"/>
  <c r="Z15" s="1"/>
  <c r="AA15"/>
  <c r="X16"/>
  <c r="Y16"/>
  <c r="Z16" s="1"/>
  <c r="AA16"/>
  <c r="X17"/>
  <c r="Y17"/>
  <c r="Z17" s="1"/>
  <c r="AA17"/>
  <c r="Y20" i="6"/>
  <c r="Z20"/>
  <c r="AA20" s="1"/>
  <c r="Y74" i="5" l="1"/>
  <c r="Z74"/>
  <c r="AA74" s="1"/>
  <c r="Y3"/>
  <c r="Z3"/>
  <c r="AA3" s="1"/>
  <c r="AB3"/>
  <c r="Y4"/>
  <c r="Z4"/>
  <c r="AA4" s="1"/>
  <c r="AB4"/>
  <c r="Y5"/>
  <c r="Z5"/>
  <c r="AA5" s="1"/>
  <c r="AB5"/>
  <c r="Y6"/>
  <c r="Z6"/>
  <c r="AA6" s="1"/>
  <c r="AB6"/>
  <c r="Y7"/>
  <c r="Z7"/>
  <c r="AA7" s="1"/>
  <c r="AB7"/>
  <c r="Y8"/>
  <c r="Z8"/>
  <c r="AA8" s="1"/>
  <c r="AB8"/>
  <c r="Y9"/>
  <c r="Y10"/>
  <c r="Z10"/>
  <c r="AA10" s="1"/>
  <c r="AB10"/>
  <c r="Y11"/>
  <c r="Y12"/>
  <c r="Z12"/>
  <c r="AA12" s="1"/>
  <c r="AB12"/>
  <c r="Y13"/>
  <c r="Z13"/>
  <c r="AA13" s="1"/>
  <c r="AB13"/>
  <c r="Y14"/>
  <c r="Z14"/>
  <c r="AA14" s="1"/>
  <c r="AB14"/>
  <c r="Y15"/>
  <c r="Z15"/>
  <c r="AA15" s="1"/>
  <c r="AB15"/>
  <c r="Y16"/>
  <c r="Z16"/>
  <c r="AA16" s="1"/>
  <c r="AB16"/>
  <c r="Y17"/>
  <c r="Z17"/>
  <c r="AA17" s="1"/>
  <c r="AB17"/>
  <c r="Y18"/>
  <c r="Z18"/>
  <c r="AA18" s="1"/>
  <c r="AB18"/>
  <c r="Y19"/>
  <c r="Z19"/>
  <c r="AA19" s="1"/>
  <c r="AB19"/>
  <c r="K23" i="6" l="1"/>
  <c r="K22"/>
  <c r="K21"/>
  <c r="J13" i="4"/>
  <c r="P22" i="6"/>
  <c r="I31" i="7"/>
  <c r="J31"/>
  <c r="K31"/>
  <c r="L31"/>
  <c r="M31"/>
  <c r="N31"/>
  <c r="O31"/>
  <c r="I30"/>
  <c r="J30"/>
  <c r="K30"/>
  <c r="L30"/>
  <c r="M30"/>
  <c r="N30"/>
  <c r="O30"/>
  <c r="H30"/>
  <c r="J29"/>
  <c r="K29"/>
  <c r="L29"/>
  <c r="M29"/>
  <c r="N29"/>
  <c r="O29"/>
  <c r="I29"/>
  <c r="H31"/>
  <c r="H29"/>
  <c r="G30"/>
  <c r="F31"/>
  <c r="F30"/>
  <c r="F29"/>
  <c r="C31"/>
  <c r="C30"/>
  <c r="C29"/>
  <c r="B31"/>
  <c r="B30"/>
  <c r="C28"/>
  <c r="B28"/>
  <c r="B27"/>
  <c r="C27"/>
  <c r="C26"/>
  <c r="M20" i="6"/>
  <c r="AB20" s="1"/>
  <c r="L19"/>
  <c r="M19" s="1"/>
  <c r="M48" i="7" l="1"/>
  <c r="I48"/>
  <c r="C48"/>
  <c r="L48"/>
  <c r="O48"/>
  <c r="K48"/>
  <c r="C47"/>
  <c r="F48"/>
  <c r="H48"/>
  <c r="N48"/>
  <c r="J48"/>
  <c r="AB19" i="6"/>
  <c r="Y19"/>
  <c r="Z19"/>
  <c r="AA19" s="1"/>
  <c r="G29" i="7"/>
  <c r="G31"/>
  <c r="P21" i="6"/>
  <c r="P23"/>
  <c r="G48" i="7" l="1"/>
  <c r="L10" i="6"/>
  <c r="L18"/>
  <c r="L16"/>
  <c r="L12"/>
  <c r="L13"/>
  <c r="L14"/>
  <c r="L15"/>
  <c r="L17"/>
  <c r="L11"/>
  <c r="O13" i="4"/>
  <c r="K12"/>
  <c r="M12" i="6" l="1"/>
  <c r="AB12" s="1"/>
  <c r="Z12"/>
  <c r="AA12" s="1"/>
  <c r="Y12"/>
  <c r="M14"/>
  <c r="AB14" s="1"/>
  <c r="Z14"/>
  <c r="AA14" s="1"/>
  <c r="Y14"/>
  <c r="M18"/>
  <c r="AB18" s="1"/>
  <c r="Z18"/>
  <c r="AA18" s="1"/>
  <c r="Y18"/>
  <c r="M15"/>
  <c r="AB15" s="1"/>
  <c r="Y15"/>
  <c r="Z15"/>
  <c r="AA15" s="1"/>
  <c r="M16"/>
  <c r="AB16" s="1"/>
  <c r="Y16"/>
  <c r="Z16"/>
  <c r="AA16" s="1"/>
  <c r="M11"/>
  <c r="AB11" s="1"/>
  <c r="Z11"/>
  <c r="AA11" s="1"/>
  <c r="Y11"/>
  <c r="Y17"/>
  <c r="Z17"/>
  <c r="AA17" s="1"/>
  <c r="M13"/>
  <c r="AB13" s="1"/>
  <c r="Y13"/>
  <c r="Z13"/>
  <c r="AA13" s="1"/>
  <c r="Y10"/>
  <c r="Z10"/>
  <c r="AA10" s="1"/>
  <c r="M10"/>
  <c r="AB10" s="1"/>
  <c r="L12" i="4"/>
  <c r="AA12" s="1"/>
  <c r="X12"/>
  <c r="Y12"/>
  <c r="Z12" s="1"/>
  <c r="K11"/>
  <c r="G32" i="7" l="1"/>
  <c r="K75" i="5" l="1"/>
  <c r="K76"/>
  <c r="C19" i="7"/>
  <c r="C18"/>
  <c r="Z9" i="5"/>
  <c r="AA9" s="1"/>
  <c r="AB9"/>
  <c r="Z11"/>
  <c r="AA11" s="1"/>
  <c r="AB11"/>
  <c r="C45" i="7" l="1"/>
  <c r="H15" i="4"/>
  <c r="H14"/>
  <c r="H13"/>
  <c r="L11" l="1"/>
  <c r="K9"/>
  <c r="Y9" s="1"/>
  <c r="Z9" s="1"/>
  <c r="K8"/>
  <c r="Y8" s="1"/>
  <c r="Z8" s="1"/>
  <c r="X4"/>
  <c r="Y5"/>
  <c r="Z5" s="1"/>
  <c r="K7"/>
  <c r="K14" l="1"/>
  <c r="E27" i="7"/>
  <c r="X3" i="4"/>
  <c r="Y6"/>
  <c r="Z6" s="1"/>
  <c r="AA4"/>
  <c r="L8"/>
  <c r="AA8" s="1"/>
  <c r="L9"/>
  <c r="AA9" s="1"/>
  <c r="X9"/>
  <c r="X8"/>
  <c r="X6"/>
  <c r="Y4"/>
  <c r="Z4" s="1"/>
  <c r="Y3"/>
  <c r="Z3" s="1"/>
  <c r="X5"/>
  <c r="AA5"/>
  <c r="X7"/>
  <c r="Y7"/>
  <c r="Z7" s="1"/>
  <c r="L7"/>
  <c r="AA7" s="1"/>
  <c r="AA6" l="1"/>
  <c r="L14"/>
  <c r="D27" i="7"/>
  <c r="AA3" i="4"/>
  <c r="L9" i="6" l="1"/>
  <c r="L8"/>
  <c r="M17"/>
  <c r="AB17" s="1"/>
  <c r="AB5" l="1"/>
  <c r="Z5"/>
  <c r="AA5" s="1"/>
  <c r="Y5"/>
  <c r="AB7"/>
  <c r="Y7"/>
  <c r="Z7"/>
  <c r="AA7" s="1"/>
  <c r="AB6"/>
  <c r="Y6"/>
  <c r="Z6"/>
  <c r="AA6" s="1"/>
  <c r="Y3"/>
  <c r="Z3"/>
  <c r="AA3" s="1"/>
  <c r="E31" i="7"/>
  <c r="B29"/>
  <c r="B48" s="1"/>
  <c r="E29"/>
  <c r="M8" i="6"/>
  <c r="AB8" s="1"/>
  <c r="Z8"/>
  <c r="AA8" s="1"/>
  <c r="Y8"/>
  <c r="M9"/>
  <c r="AB9" s="1"/>
  <c r="Y9"/>
  <c r="Z9"/>
  <c r="AA9" s="1"/>
  <c r="Z4"/>
  <c r="AA4" s="1"/>
  <c r="Y4"/>
  <c r="E30" i="7"/>
  <c r="L22" i="6"/>
  <c r="L23"/>
  <c r="L21"/>
  <c r="E48" i="7" l="1"/>
  <c r="D31"/>
  <c r="D29"/>
  <c r="M22" i="6"/>
  <c r="AB22" s="1"/>
  <c r="D30" i="7"/>
  <c r="Z21" i="6"/>
  <c r="AA21" s="1"/>
  <c r="AB4"/>
  <c r="Z23"/>
  <c r="AA23" s="1"/>
  <c r="Z22"/>
  <c r="AA22" s="1"/>
  <c r="AB3"/>
  <c r="M23"/>
  <c r="AB23" s="1"/>
  <c r="M21"/>
  <c r="AB21" s="1"/>
  <c r="D48" i="7" l="1"/>
  <c r="AB74" i="5"/>
  <c r="L36" l="1"/>
  <c r="L39"/>
  <c r="L40"/>
  <c r="L41"/>
  <c r="L44"/>
  <c r="L45"/>
  <c r="L46"/>
  <c r="L49"/>
  <c r="L50"/>
  <c r="L52"/>
  <c r="L53"/>
  <c r="L54"/>
  <c r="L56"/>
  <c r="L57"/>
  <c r="L60"/>
  <c r="L63"/>
  <c r="L64"/>
  <c r="L65"/>
  <c r="L67"/>
  <c r="L23"/>
  <c r="L24"/>
  <c r="L25"/>
  <c r="L26"/>
  <c r="L27"/>
  <c r="L33"/>
  <c r="L34"/>
  <c r="L78" l="1"/>
  <c r="E21" i="7"/>
  <c r="M32" i="5"/>
  <c r="AB32" s="1"/>
  <c r="Y32"/>
  <c r="Z32"/>
  <c r="AA32" s="1"/>
  <c r="M67"/>
  <c r="AB67" s="1"/>
  <c r="Y67"/>
  <c r="Z67"/>
  <c r="AA67" s="1"/>
  <c r="M55"/>
  <c r="AB55" s="1"/>
  <c r="Y55"/>
  <c r="Z55"/>
  <c r="AA55" s="1"/>
  <c r="AB43"/>
  <c r="Y43"/>
  <c r="Z43"/>
  <c r="AA43" s="1"/>
  <c r="AB31"/>
  <c r="Y31"/>
  <c r="Z31"/>
  <c r="AA31" s="1"/>
  <c r="M27"/>
  <c r="AB27" s="1"/>
  <c r="Y27"/>
  <c r="Z27"/>
  <c r="AA27" s="1"/>
  <c r="M23"/>
  <c r="Y23"/>
  <c r="Z23"/>
  <c r="AA23" s="1"/>
  <c r="AB66"/>
  <c r="Y66"/>
  <c r="Z66"/>
  <c r="AA66" s="1"/>
  <c r="AB62"/>
  <c r="Y62"/>
  <c r="Z62"/>
  <c r="AA62" s="1"/>
  <c r="AB58"/>
  <c r="Y58"/>
  <c r="Z58"/>
  <c r="AA58" s="1"/>
  <c r="M54"/>
  <c r="AB54" s="1"/>
  <c r="Y54"/>
  <c r="Z54"/>
  <c r="AA54" s="1"/>
  <c r="M50"/>
  <c r="AB50" s="1"/>
  <c r="Y50"/>
  <c r="Z50"/>
  <c r="AA50" s="1"/>
  <c r="M46"/>
  <c r="AB46" s="1"/>
  <c r="Y46"/>
  <c r="Z46"/>
  <c r="AA46" s="1"/>
  <c r="AB42"/>
  <c r="Y42"/>
  <c r="Z42"/>
  <c r="AA42" s="1"/>
  <c r="AB38"/>
  <c r="Y38"/>
  <c r="Z38"/>
  <c r="AA38" s="1"/>
  <c r="AB28"/>
  <c r="Y28"/>
  <c r="Z28"/>
  <c r="AA28" s="1"/>
  <c r="M63"/>
  <c r="AB63" s="1"/>
  <c r="Y63"/>
  <c r="Z63"/>
  <c r="AA63" s="1"/>
  <c r="AB51"/>
  <c r="Y51"/>
  <c r="Z51"/>
  <c r="AA51" s="1"/>
  <c r="Y39"/>
  <c r="Z39"/>
  <c r="AA39" s="1"/>
  <c r="AB30"/>
  <c r="Y30"/>
  <c r="Z30"/>
  <c r="AA30" s="1"/>
  <c r="AB22"/>
  <c r="Y22"/>
  <c r="Z22"/>
  <c r="AA22" s="1"/>
  <c r="M65"/>
  <c r="AB65" s="1"/>
  <c r="Y65"/>
  <c r="Z65"/>
  <c r="AA65" s="1"/>
  <c r="AB61"/>
  <c r="Y61"/>
  <c r="Z61"/>
  <c r="AA61" s="1"/>
  <c r="M57"/>
  <c r="AB57" s="1"/>
  <c r="Y57"/>
  <c r="Z57"/>
  <c r="AA57" s="1"/>
  <c r="M53"/>
  <c r="AB53" s="1"/>
  <c r="Y53"/>
  <c r="Z53"/>
  <c r="AA53" s="1"/>
  <c r="Y49"/>
  <c r="Z49"/>
  <c r="AA49" s="1"/>
  <c r="M45"/>
  <c r="AB45" s="1"/>
  <c r="Y45"/>
  <c r="Z45"/>
  <c r="AA45" s="1"/>
  <c r="M41"/>
  <c r="AB41" s="1"/>
  <c r="Y41"/>
  <c r="Z41"/>
  <c r="AA41" s="1"/>
  <c r="Y37"/>
  <c r="Z37"/>
  <c r="AA37" s="1"/>
  <c r="M24"/>
  <c r="AB24" s="1"/>
  <c r="Y24"/>
  <c r="Z24"/>
  <c r="AA24" s="1"/>
  <c r="AB59"/>
  <c r="Y59"/>
  <c r="Z59"/>
  <c r="AA59" s="1"/>
  <c r="AB47"/>
  <c r="Y47"/>
  <c r="Z47"/>
  <c r="AA47" s="1"/>
  <c r="Y35"/>
  <c r="Z35"/>
  <c r="AA35" s="1"/>
  <c r="M34"/>
  <c r="AB34" s="1"/>
  <c r="Y34"/>
  <c r="Z34"/>
  <c r="AA34" s="1"/>
  <c r="M26"/>
  <c r="AB26" s="1"/>
  <c r="Y26"/>
  <c r="Z26"/>
  <c r="AA26" s="1"/>
  <c r="M33"/>
  <c r="AB33" s="1"/>
  <c r="Y33"/>
  <c r="Z33"/>
  <c r="AA33" s="1"/>
  <c r="AB29"/>
  <c r="Y29"/>
  <c r="Z29"/>
  <c r="AA29" s="1"/>
  <c r="M25"/>
  <c r="AB25" s="1"/>
  <c r="Y25"/>
  <c r="Z25"/>
  <c r="AA25" s="1"/>
  <c r="AB21"/>
  <c r="Y21"/>
  <c r="Z21"/>
  <c r="AA21" s="1"/>
  <c r="M64"/>
  <c r="AB64" s="1"/>
  <c r="Y64"/>
  <c r="Z64"/>
  <c r="AA64" s="1"/>
  <c r="M60"/>
  <c r="AB60" s="1"/>
  <c r="Y60"/>
  <c r="Z60"/>
  <c r="AA60" s="1"/>
  <c r="M56"/>
  <c r="AB56" s="1"/>
  <c r="Y56"/>
  <c r="Z56"/>
  <c r="AA56" s="1"/>
  <c r="M52"/>
  <c r="AB52" s="1"/>
  <c r="Y52"/>
  <c r="Z52"/>
  <c r="AA52" s="1"/>
  <c r="Y48"/>
  <c r="Z48"/>
  <c r="AA48" s="1"/>
  <c r="AB48"/>
  <c r="M44"/>
  <c r="AB44" s="1"/>
  <c r="Y44"/>
  <c r="Z44"/>
  <c r="AA44" s="1"/>
  <c r="Y40"/>
  <c r="Z40"/>
  <c r="AA40" s="1"/>
  <c r="M36"/>
  <c r="AB36" s="1"/>
  <c r="Y36"/>
  <c r="Z36"/>
  <c r="AA36" s="1"/>
  <c r="M40"/>
  <c r="AB40" s="1"/>
  <c r="M39"/>
  <c r="AB39" s="1"/>
  <c r="M49"/>
  <c r="AB49" s="1"/>
  <c r="AB37"/>
  <c r="AB35"/>
  <c r="M78" l="1"/>
  <c r="AB23"/>
  <c r="D21" i="7"/>
  <c r="K19" i="3"/>
  <c r="K20"/>
  <c r="K21"/>
  <c r="K22"/>
  <c r="K23"/>
  <c r="K24"/>
  <c r="K26"/>
  <c r="K27"/>
  <c r="X27" s="1"/>
  <c r="K28"/>
  <c r="K30"/>
  <c r="K34"/>
  <c r="K35"/>
  <c r="K36"/>
  <c r="AA41"/>
  <c r="K44" l="1"/>
  <c r="E16" i="7"/>
  <c r="L26" i="3"/>
  <c r="AA26" s="1"/>
  <c r="X26"/>
  <c r="Y26"/>
  <c r="Z26" s="1"/>
  <c r="AA25"/>
  <c r="X25"/>
  <c r="Y25"/>
  <c r="Z25" s="1"/>
  <c r="L21"/>
  <c r="AA21" s="1"/>
  <c r="X21"/>
  <c r="Y21"/>
  <c r="Z21" s="1"/>
  <c r="L30"/>
  <c r="AA30" s="1"/>
  <c r="Y30"/>
  <c r="Z30" s="1"/>
  <c r="X30"/>
  <c r="L22"/>
  <c r="AA22" s="1"/>
  <c r="X22"/>
  <c r="Y22"/>
  <c r="Z22" s="1"/>
  <c r="AA29"/>
  <c r="Y29"/>
  <c r="Z29" s="1"/>
  <c r="X29"/>
  <c r="AA32"/>
  <c r="Y32"/>
  <c r="Z32" s="1"/>
  <c r="X32"/>
  <c r="L28"/>
  <c r="AA28" s="1"/>
  <c r="Y28"/>
  <c r="Z28" s="1"/>
  <c r="X28"/>
  <c r="L24"/>
  <c r="AA24" s="1"/>
  <c r="X24"/>
  <c r="Y24"/>
  <c r="Z24" s="1"/>
  <c r="L20"/>
  <c r="AA20" s="1"/>
  <c r="X20"/>
  <c r="Y20"/>
  <c r="Z20" s="1"/>
  <c r="L34"/>
  <c r="AA34" s="1"/>
  <c r="X34"/>
  <c r="Y34"/>
  <c r="Z34" s="1"/>
  <c r="AA33"/>
  <c r="Y33"/>
  <c r="Z33" s="1"/>
  <c r="X33"/>
  <c r="L36"/>
  <c r="AA36" s="1"/>
  <c r="Y36"/>
  <c r="Z36" s="1"/>
  <c r="L35"/>
  <c r="AA35" s="1"/>
  <c r="X35"/>
  <c r="Y35"/>
  <c r="Z35" s="1"/>
  <c r="M17" i="7"/>
  <c r="AA31" i="3"/>
  <c r="Y31"/>
  <c r="Z31" s="1"/>
  <c r="X31"/>
  <c r="L27"/>
  <c r="AA27" s="1"/>
  <c r="Y27"/>
  <c r="Z27" s="1"/>
  <c r="L23"/>
  <c r="AA23" s="1"/>
  <c r="X23"/>
  <c r="Y23"/>
  <c r="Z23" s="1"/>
  <c r="L19"/>
  <c r="X19"/>
  <c r="Y19"/>
  <c r="Z19" s="1"/>
  <c r="AA19" l="1"/>
  <c r="L44"/>
  <c r="D16" i="7"/>
  <c r="P16" s="1"/>
  <c r="X36" i="3"/>
  <c r="M16" i="7"/>
  <c r="M14"/>
  <c r="Q31"/>
  <c r="P31"/>
  <c r="P27"/>
  <c r="O34"/>
  <c r="N34"/>
  <c r="M34"/>
  <c r="L34"/>
  <c r="K34"/>
  <c r="J34"/>
  <c r="I34"/>
  <c r="H34"/>
  <c r="G34"/>
  <c r="F34"/>
  <c r="C34"/>
  <c r="B34"/>
  <c r="O33"/>
  <c r="N33"/>
  <c r="M33"/>
  <c r="L33"/>
  <c r="K33"/>
  <c r="I33"/>
  <c r="H33"/>
  <c r="G33"/>
  <c r="F33"/>
  <c r="C33"/>
  <c r="B33"/>
  <c r="O24"/>
  <c r="N24"/>
  <c r="L24"/>
  <c r="L37" s="1"/>
  <c r="L42" s="1"/>
  <c r="K24"/>
  <c r="J24"/>
  <c r="I24"/>
  <c r="H24"/>
  <c r="G24"/>
  <c r="F24"/>
  <c r="C24"/>
  <c r="B24"/>
  <c r="O23"/>
  <c r="N23"/>
  <c r="M23"/>
  <c r="L23"/>
  <c r="K23"/>
  <c r="J23"/>
  <c r="J36" s="1"/>
  <c r="J41" s="1"/>
  <c r="I23"/>
  <c r="H23"/>
  <c r="G23"/>
  <c r="F23"/>
  <c r="E23"/>
  <c r="D23"/>
  <c r="C23"/>
  <c r="B23"/>
  <c r="B36" s="1"/>
  <c r="B41" s="1"/>
  <c r="O22" i="6"/>
  <c r="Q21" i="7"/>
  <c r="P21"/>
  <c r="Q19"/>
  <c r="P19"/>
  <c r="Q15"/>
  <c r="P15"/>
  <c r="G37" l="1"/>
  <c r="G42" s="1"/>
  <c r="K37"/>
  <c r="K42" s="1"/>
  <c r="F37"/>
  <c r="F42" s="1"/>
  <c r="O37"/>
  <c r="O42" s="1"/>
  <c r="G49"/>
  <c r="B37"/>
  <c r="B42" s="1"/>
  <c r="H37"/>
  <c r="H42" s="1"/>
  <c r="C37"/>
  <c r="C42" s="1"/>
  <c r="I37"/>
  <c r="I42" s="1"/>
  <c r="N37"/>
  <c r="N42" s="1"/>
  <c r="D36"/>
  <c r="D41" s="1"/>
  <c r="F36"/>
  <c r="F41" s="1"/>
  <c r="H36"/>
  <c r="H41" s="1"/>
  <c r="L36"/>
  <c r="L41" s="1"/>
  <c r="N36"/>
  <c r="N41" s="1"/>
  <c r="Q16"/>
  <c r="C36"/>
  <c r="C41" s="1"/>
  <c r="E36"/>
  <c r="E41" s="1"/>
  <c r="G36"/>
  <c r="G41" s="1"/>
  <c r="I36"/>
  <c r="I41" s="1"/>
  <c r="K36"/>
  <c r="K41" s="1"/>
  <c r="M36"/>
  <c r="M41" s="1"/>
  <c r="O36"/>
  <c r="O41" s="1"/>
  <c r="M44"/>
  <c r="Y22" i="6"/>
  <c r="M24" i="7"/>
  <c r="M37" s="1"/>
  <c r="M42" s="1"/>
  <c r="Y78" i="5"/>
  <c r="Z78"/>
  <c r="AA78" s="1"/>
  <c r="Y76"/>
  <c r="Z76"/>
  <c r="AA76" s="1"/>
  <c r="AB76"/>
  <c r="AB78"/>
  <c r="X44" i="3"/>
  <c r="Y14" i="4"/>
  <c r="P23" i="7"/>
  <c r="Q23"/>
  <c r="K10" i="4"/>
  <c r="L20" i="5"/>
  <c r="L77" s="1"/>
  <c r="L75" l="1"/>
  <c r="P36" i="7"/>
  <c r="Q36"/>
  <c r="K15" i="4"/>
  <c r="K13"/>
  <c r="E28" i="7"/>
  <c r="E26"/>
  <c r="B26"/>
  <c r="B47" s="1"/>
  <c r="E20"/>
  <c r="B18"/>
  <c r="B45" s="1"/>
  <c r="E18"/>
  <c r="L10" i="4"/>
  <c r="M20" i="5"/>
  <c r="M77" s="1"/>
  <c r="X43" i="3"/>
  <c r="O25" i="7"/>
  <c r="O38" s="1"/>
  <c r="O43" s="1"/>
  <c r="N25"/>
  <c r="N38" s="1"/>
  <c r="N43" s="1"/>
  <c r="M25"/>
  <c r="M38" s="1"/>
  <c r="M43" s="1"/>
  <c r="L25"/>
  <c r="L38" s="1"/>
  <c r="L43" s="1"/>
  <c r="K25"/>
  <c r="K38" s="1"/>
  <c r="K43" s="1"/>
  <c r="J25"/>
  <c r="J38" s="1"/>
  <c r="J43" s="1"/>
  <c r="I25"/>
  <c r="I38" s="1"/>
  <c r="H25"/>
  <c r="H38" s="1"/>
  <c r="H43" s="1"/>
  <c r="G25"/>
  <c r="G38" s="1"/>
  <c r="G43" s="1"/>
  <c r="F25"/>
  <c r="F38" s="1"/>
  <c r="F43" s="1"/>
  <c r="B25"/>
  <c r="B38" s="1"/>
  <c r="B43" s="1"/>
  <c r="O23" i="6"/>
  <c r="O21"/>
  <c r="M75" i="5" l="1"/>
  <c r="AB77"/>
  <c r="E47" i="7"/>
  <c r="E45"/>
  <c r="I43"/>
  <c r="D18"/>
  <c r="D20"/>
  <c r="L15" i="4"/>
  <c r="D28" i="7"/>
  <c r="D26"/>
  <c r="D32" s="1"/>
  <c r="L13" i="4"/>
  <c r="Y23" i="6"/>
  <c r="Z77" i="5"/>
  <c r="AA77" s="1"/>
  <c r="Y21" i="6"/>
  <c r="E34" i="7"/>
  <c r="Q34" s="1"/>
  <c r="L32"/>
  <c r="L49" s="1"/>
  <c r="K32"/>
  <c r="K49" s="1"/>
  <c r="O32"/>
  <c r="O49" s="1"/>
  <c r="Q30"/>
  <c r="E33"/>
  <c r="H32"/>
  <c r="H49" s="1"/>
  <c r="Q29"/>
  <c r="Q20"/>
  <c r="E24"/>
  <c r="Y43" i="3"/>
  <c r="AA43"/>
  <c r="Q26" i="7"/>
  <c r="J32"/>
  <c r="E32"/>
  <c r="I32"/>
  <c r="I49" s="1"/>
  <c r="M32"/>
  <c r="M49" s="1"/>
  <c r="F32"/>
  <c r="F49" s="1"/>
  <c r="N32"/>
  <c r="N49" s="1"/>
  <c r="C32"/>
  <c r="C49" s="1"/>
  <c r="B32"/>
  <c r="B49" s="1"/>
  <c r="Y44" i="3"/>
  <c r="AA44"/>
  <c r="X11" i="4"/>
  <c r="Y11"/>
  <c r="Z11" s="1"/>
  <c r="AA11"/>
  <c r="AA10"/>
  <c r="Y10"/>
  <c r="Z10" s="1"/>
  <c r="X10"/>
  <c r="AB20" i="5"/>
  <c r="Z20"/>
  <c r="AA20" s="1"/>
  <c r="Y20"/>
  <c r="E37" i="7" l="1"/>
  <c r="E42" s="1"/>
  <c r="E49"/>
  <c r="P26"/>
  <c r="D47"/>
  <c r="D45"/>
  <c r="Q28"/>
  <c r="D34"/>
  <c r="P34" s="1"/>
  <c r="P28"/>
  <c r="P29"/>
  <c r="P30"/>
  <c r="D33"/>
  <c r="P20"/>
  <c r="D24"/>
  <c r="Q24"/>
  <c r="K22"/>
  <c r="J22"/>
  <c r="M22"/>
  <c r="N22"/>
  <c r="O22"/>
  <c r="P32"/>
  <c r="H22"/>
  <c r="I22"/>
  <c r="Q32"/>
  <c r="L22"/>
  <c r="D49" l="1"/>
  <c r="D37"/>
  <c r="D42" s="1"/>
  <c r="L35"/>
  <c r="L40" s="1"/>
  <c r="L46"/>
  <c r="H35"/>
  <c r="H40" s="1"/>
  <c r="H46"/>
  <c r="O35"/>
  <c r="O40" s="1"/>
  <c r="O46"/>
  <c r="M35"/>
  <c r="M40" s="1"/>
  <c r="M46"/>
  <c r="K35"/>
  <c r="K40" s="1"/>
  <c r="K46"/>
  <c r="I35"/>
  <c r="I40" s="1"/>
  <c r="I46"/>
  <c r="N35"/>
  <c r="N40" s="1"/>
  <c r="N46"/>
  <c r="J35"/>
  <c r="J46"/>
  <c r="J33"/>
  <c r="Q27"/>
  <c r="P33"/>
  <c r="P24"/>
  <c r="P37" l="1"/>
  <c r="J37"/>
  <c r="J40" s="1"/>
  <c r="J49"/>
  <c r="Q33"/>
  <c r="J42" l="1"/>
  <c r="Q37"/>
  <c r="Y75" i="5" l="1"/>
  <c r="Z75"/>
  <c r="AA75" s="1"/>
  <c r="G22" i="7"/>
  <c r="Q18"/>
  <c r="F22"/>
  <c r="F46" s="1"/>
  <c r="X15" i="4"/>
  <c r="Y15"/>
  <c r="P18" i="7"/>
  <c r="AB75" i="5"/>
  <c r="AA15" i="4"/>
  <c r="G35" i="7" l="1"/>
  <c r="G40" s="1"/>
  <c r="G46"/>
  <c r="F35"/>
  <c r="F40" s="1"/>
  <c r="C22"/>
  <c r="C17"/>
  <c r="C44" s="1"/>
  <c r="K18" i="3"/>
  <c r="C35" i="7" l="1"/>
  <c r="Y18" i="3"/>
  <c r="Z18" s="1"/>
  <c r="K45"/>
  <c r="K42"/>
  <c r="E14" i="7"/>
  <c r="Q14" s="1"/>
  <c r="B14"/>
  <c r="B44" s="1"/>
  <c r="E17"/>
  <c r="C25"/>
  <c r="C38" s="1"/>
  <c r="C43" s="1"/>
  <c r="L18" i="3"/>
  <c r="X18"/>
  <c r="B22" i="7" l="1"/>
  <c r="B46" s="1"/>
  <c r="E22"/>
  <c r="E44"/>
  <c r="C46"/>
  <c r="C40"/>
  <c r="L42" i="3"/>
  <c r="AA42" s="1"/>
  <c r="D14" i="7"/>
  <c r="X42" i="3"/>
  <c r="Y42"/>
  <c r="E25" i="7"/>
  <c r="E38" s="1"/>
  <c r="Q17"/>
  <c r="X45" i="3"/>
  <c r="Y45"/>
  <c r="D17" i="7"/>
  <c r="L45" i="3"/>
  <c r="AA45" s="1"/>
  <c r="AA18"/>
  <c r="B35" i="7" l="1"/>
  <c r="B40" s="1"/>
  <c r="D44"/>
  <c r="E43"/>
  <c r="Q38"/>
  <c r="E35"/>
  <c r="E46"/>
  <c r="Q22"/>
  <c r="Q25"/>
  <c r="D22"/>
  <c r="P14"/>
  <c r="D25"/>
  <c r="D38" s="1"/>
  <c r="P38" s="1"/>
  <c r="P17"/>
  <c r="D46" l="1"/>
  <c r="Q35"/>
  <c r="E40"/>
  <c r="D43"/>
  <c r="P25"/>
  <c r="D35"/>
  <c r="P22"/>
  <c r="AA14" i="4"/>
  <c r="X14"/>
  <c r="X13"/>
  <c r="Y13"/>
  <c r="AA13"/>
  <c r="P35" i="7" l="1"/>
  <c r="D40"/>
  <c r="Y77" i="5"/>
</calcChain>
</file>

<file path=xl/sharedStrings.xml><?xml version="1.0" encoding="utf-8"?>
<sst xmlns="http://schemas.openxmlformats.org/spreadsheetml/2006/main" count="1607" uniqueCount="879">
  <si>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</si>
  <si>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</si>
  <si>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</si>
  <si>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</si>
  <si>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</si>
  <si>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</si>
  <si>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</si>
  <si>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</si>
  <si>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</si>
  <si>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</si>
  <si>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</si>
  <si>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</si>
  <si>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</si>
  <si>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</si>
  <si>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</si>
  <si>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</si>
  <si>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</si>
  <si>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</si>
  <si>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</si>
  <si>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</si>
  <si>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</si>
  <si>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</si>
  <si>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</si>
  <si>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</si>
  <si>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</si>
  <si>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</si>
  <si>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</si>
  <si>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</si>
  <si>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</si>
  <si>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</si>
  <si>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</si>
  <si>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</si>
  <si>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</si>
  <si>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</si>
  <si>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</si>
  <si>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</si>
  <si>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</si>
  <si>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</si>
  <si>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</si>
  <si>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</si>
  <si>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</si>
  <si>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</si>
  <si>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</si>
  <si>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</si>
  <si>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</si>
  <si>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</si>
  <si>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</si>
  <si>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</si>
  <si>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</si>
  <si>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</si>
  <si>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</si>
  <si>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</si>
  <si>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</si>
  <si>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</si>
  <si>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</si>
  <si>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</si>
  <si>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</si>
  <si>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</si>
  <si>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</si>
  <si>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</si>
  <si>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</si>
  <si>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</si>
  <si>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</si>
  <si>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</si>
  <si>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</si>
  <si>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</si>
  <si>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</si>
  <si>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</si>
  <si>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</si>
  <si>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</si>
  <si>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</si>
  <si>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</si>
  <si>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</si>
  <si>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</si>
  <si>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</si>
  <si>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</si>
  <si>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</si>
  <si>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</si>
  <si>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</si>
  <si>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</si>
  <si>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</si>
  <si>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</si>
  <si>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</si>
  <si>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</si>
  <si>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</si>
  <si>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</si>
  <si>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</si>
  <si>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</si>
  <si>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</si>
  <si>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</si>
  <si>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</si>
  <si>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</si>
  <si>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</si>
  <si>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</si>
  <si>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</si>
  <si>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</si>
  <si>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</si>
  <si>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</si>
  <si>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</si>
  <si>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</si>
  <si>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</si>
  <si>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</si>
  <si>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</si>
  <si>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</si>
  <si>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</si>
  <si>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</si>
  <si>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</si>
  <si>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</si>
  <si>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</si>
  <si>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</si>
  <si>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</si>
  <si>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</si>
  <si>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</si>
  <si>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</si>
  <si>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</si>
  <si>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</si>
  <si>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</si>
  <si>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</si>
  <si>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</si>
  <si>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</si>
  <si>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</si>
  <si>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</si>
  <si>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</si>
  <si>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</si>
  <si>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</si>
  <si>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</si>
  <si>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</si>
  <si>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</si>
  <si>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</si>
  <si>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</si>
  <si>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</si>
  <si>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</si>
  <si>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</si>
  <si>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</si>
  <si>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</si>
  <si>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</si>
  <si>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</si>
  <si>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</si>
  <si>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</si>
  <si>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</si>
  <si>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</si>
  <si>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</si>
  <si>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</si>
  <si>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</si>
  <si>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</si>
  <si>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</si>
  <si>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</si>
  <si>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</si>
  <si>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</si>
  <si>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</si>
  <si>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</si>
  <si>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</si>
  <si>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</si>
  <si>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</si>
  <si>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</si>
  <si>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</si>
  <si>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</si>
  <si>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</si>
  <si>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</si>
  <si>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</si>
  <si>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</si>
  <si>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</si>
  <si>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</si>
  <si>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</si>
  <si>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</si>
  <si>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</si>
  <si>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</si>
  <si>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</si>
  <si>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</si>
  <si>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</si>
  <si>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</si>
  <si>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</si>
  <si>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</si>
  <si>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</si>
  <si>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</si>
  <si>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</si>
  <si>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</si>
  <si>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</si>
  <si>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</si>
  <si>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</si>
  <si>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</si>
  <si>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</si>
  <si>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</si>
  <si>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</si>
  <si>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</si>
  <si>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</si>
  <si>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</si>
  <si>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</si>
  <si>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</si>
  <si>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</si>
  <si>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</si>
  <si>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</si>
  <si>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</si>
  <si>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</si>
  <si>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</si>
  <si>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</si>
  <si>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</si>
  <si>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</si>
  <si>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</si>
  <si>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</si>
  <si>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</si>
  <si>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</si>
  <si>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</si>
  <si>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</si>
  <si>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</si>
  <si>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</si>
  <si>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</si>
  <si>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</si>
  <si>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</si>
  <si>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</si>
  <si>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</si>
  <si>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</si>
  <si>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</si>
  <si>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</si>
  <si>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</si>
  <si>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</si>
  <si>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</si>
  <si>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</si>
  <si>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</si>
  <si>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</si>
  <si>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</si>
  <si>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</si>
  <si>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</si>
  <si>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</si>
  <si>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</si>
  <si>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</si>
  <si>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</si>
  <si>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</si>
  <si>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</si>
  <si>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</si>
  <si>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</si>
  <si>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Przebudowa drogi nr 693 016S w Praszczykach w Gminie Panki wraz z budową oświetlenia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</si>
  <si>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</si>
  <si>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</si>
  <si>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</si>
  <si>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</si>
  <si>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</si>
  <si>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</si>
  <si>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</si>
  <si>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</si>
  <si>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</si>
  <si>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</si>
  <si>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</si>
  <si>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</si>
  <si>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</si>
  <si>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</si>
  <si>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</si>
  <si>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</si>
  <si>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</si>
  <si>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</si>
  <si>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</si>
  <si>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</si>
  <si>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</si>
  <si>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</si>
  <si>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</si>
  <si>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</si>
  <si>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</si>
  <si>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</si>
  <si>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</si>
  <si>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</si>
  <si>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</si>
  <si>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</si>
  <si>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</si>
  <si>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</si>
  <si>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</si>
  <si>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</si>
  <si>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</si>
  <si>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</si>
  <si>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</si>
  <si>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</si>
  <si>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</si>
  <si>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</si>
  <si>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</si>
  <si>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</si>
  <si>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</si>
  <si>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</si>
  <si>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</si>
  <si>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</si>
  <si>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</si>
  <si>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</si>
  <si>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</si>
  <si>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</si>
  <si>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</si>
  <si>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</si>
  <si>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</si>
  <si>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</si>
  <si>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</si>
  <si>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</si>
  <si>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</si>
  <si>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</si>
  <si>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</si>
  <si>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</si>
  <si>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</si>
  <si>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</si>
  <si>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</si>
  <si>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</si>
  <si>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</si>
  <si>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</si>
  <si>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</si>
  <si>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</si>
  <si>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</si>
  <si>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</si>
  <si>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</si>
  <si>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</si>
  <si>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</si>
  <si>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</si>
  <si>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</si>
  <si>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</si>
  <si>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</si>
  <si>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</si>
  <si>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</si>
  <si>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</si>
  <si>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</si>
  <si>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</si>
  <si>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</si>
  <si>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</si>
  <si>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</si>
  <si>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</si>
  <si>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</si>
  <si>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</si>
  <si>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</si>
  <si>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</si>
  <si>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</si>
  <si>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</si>
  <si>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</si>
  <si>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</si>
  <si>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</si>
  <si>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</si>
  <si>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</si>
  <si>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</si>
  <si>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</si>
  <si>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</si>
  <si>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</si>
  <si>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</si>
  <si>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</si>
  <si>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</si>
  <si>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</si>
  <si>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</si>
  <si>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</si>
  <si>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</si>
  <si>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</si>
  <si>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</si>
  <si>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</si>
  <si>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</si>
  <si>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</si>
  <si>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</si>
  <si>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</si>
  <si>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</si>
  <si>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</si>
  <si>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</si>
  <si>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</si>
  <si>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</si>
  <si>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</si>
  <si>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GMINA CZELADŹ</t>
  </si>
  <si>
    <t>GMINA ŻARKI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</si>
  <si>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</si>
  <si>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</si>
  <si>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</si>
  <si>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</si>
  <si>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</si>
  <si>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</si>
  <si>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</si>
  <si>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</si>
  <si>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</si>
  <si>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</si>
  <si>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</si>
  <si>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</si>
  <si>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</si>
  <si>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</si>
  <si>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</si>
  <si>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</si>
  <si>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</si>
  <si>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</si>
  <si>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MIASTO SOSNOWIEC</t>
  </si>
  <si>
    <t>POWIAT BĘDZIŃSKI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</si>
  <si>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</si>
  <si>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</si>
  <si>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</si>
  <si>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</si>
  <si>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</si>
  <si>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</si>
  <si>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</si>
  <si>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</si>
  <si>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</si>
  <si>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</si>
  <si>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</si>
  <si>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</si>
  <si>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</si>
  <si>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</si>
  <si>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</si>
  <si>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</si>
  <si>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</si>
  <si>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</si>
  <si>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</si>
  <si>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</si>
  <si>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</si>
  <si>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</si>
  <si>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</si>
  <si>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</si>
  <si>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</si>
  <si>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</si>
  <si>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</si>
  <si>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</si>
  <si>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</si>
  <si>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</si>
  <si>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</si>
  <si>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</si>
  <si>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</si>
  <si>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</si>
  <si>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</si>
  <si>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</si>
  <si>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</si>
  <si>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</si>
  <si>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</si>
  <si>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</si>
  <si>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</si>
  <si>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</si>
  <si>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</si>
  <si>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</si>
  <si>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</si>
  <si>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</si>
  <si>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luty 2021</t>
  </si>
  <si>
    <t>marzec 2020 - październik 2020</t>
  </si>
  <si>
    <t>październik 2020 - wrzesień 2021</t>
  </si>
  <si>
    <t>kwiecień 2020 - listopad 2024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</si>
  <si>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</si>
  <si>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</si>
  <si>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</si>
  <si>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</si>
  <si>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</si>
  <si>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</si>
  <si>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</si>
  <si>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</si>
  <si>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</si>
  <si>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</si>
  <si>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</si>
  <si>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</si>
  <si>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</si>
  <si>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maj 2020 - czerwiec 2021</t>
  </si>
  <si>
    <t>październik 2020 - listopad 2022</t>
  </si>
  <si>
    <t>luty 2020 - sierpień 2020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</si>
  <si>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</si>
  <si>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</si>
  <si>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</si>
  <si>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</si>
  <si>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</si>
  <si>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</si>
  <si>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</si>
  <si>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</si>
  <si>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</si>
  <si>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</si>
  <si>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</si>
  <si>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</si>
  <si>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</si>
  <si>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</si>
  <si>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</si>
  <si>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</si>
  <si>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</si>
  <si>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</si>
  <si>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</si>
  <si>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</si>
  <si>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</si>
  <si>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</si>
  <si>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</si>
  <si>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</si>
  <si>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</si>
  <si>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</si>
  <si>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</si>
  <si>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</si>
  <si>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</si>
  <si>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</si>
  <si>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</si>
  <si>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</si>
  <si>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</si>
  <si>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</si>
  <si>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</si>
  <si>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</si>
  <si>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</si>
  <si>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</si>
  <si>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</si>
  <si>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</si>
  <si>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</si>
  <si>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</si>
  <si>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</si>
  <si>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</si>
  <si>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</si>
  <si>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</si>
  <si>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</si>
  <si>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</si>
  <si>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</si>
  <si>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</si>
  <si>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</si>
  <si>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</si>
  <si>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</si>
  <si>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</si>
  <si>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</si>
  <si>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</si>
  <si>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</si>
  <si>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</si>
  <si>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</si>
  <si>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</si>
  <si>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</si>
  <si>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</si>
  <si>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</si>
  <si>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</si>
  <si>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</si>
  <si>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</si>
  <si>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</si>
  <si>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</si>
  <si>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</si>
  <si>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</si>
  <si>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</si>
  <si>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</si>
  <si>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</si>
  <si>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</si>
  <si>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</si>
  <si>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</si>
  <si>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</si>
  <si>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</si>
  <si>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</si>
  <si>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</si>
  <si>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</si>
  <si>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</si>
  <si>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</si>
  <si>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</si>
  <si>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</si>
  <si>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</si>
  <si>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</si>
  <si>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</si>
  <si>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</si>
  <si>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</si>
  <si>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</si>
  <si>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</si>
  <si>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</si>
  <si>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</si>
  <si>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</si>
  <si>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</si>
  <si>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</si>
  <si>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</si>
  <si>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</si>
  <si>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</si>
  <si>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</si>
  <si>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</si>
  <si>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</si>
  <si>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</si>
  <si>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</si>
  <si>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</si>
  <si>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</si>
  <si>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</si>
  <si>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</si>
  <si>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</si>
  <si>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</si>
  <si>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</si>
  <si>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</si>
  <si>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</si>
  <si>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</si>
  <si>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</si>
  <si>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</si>
  <si>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</si>
  <si>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</si>
  <si>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</si>
  <si>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</si>
  <si>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</si>
  <si>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</si>
  <si>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</si>
  <si>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</si>
  <si>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</si>
  <si>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</si>
  <si>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</si>
  <si>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</si>
  <si>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</si>
  <si>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</si>
  <si>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</si>
  <si>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</si>
  <si>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</si>
  <si>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</si>
  <si>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</si>
  <si>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</si>
  <si>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</si>
  <si>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</si>
  <si>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</si>
  <si>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</si>
  <si>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</si>
  <si>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</si>
  <si>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</si>
  <si>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</si>
  <si>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</si>
  <si>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</si>
  <si>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</si>
  <si>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</si>
  <si>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</si>
  <si>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</si>
  <si>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</si>
  <si>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</si>
  <si>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</si>
  <si>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</si>
  <si>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</si>
  <si>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</si>
  <si>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</si>
  <si>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</si>
  <si>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</si>
  <si>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</si>
  <si>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</si>
  <si>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</si>
  <si>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</si>
  <si>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</si>
  <si>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</si>
  <si>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</si>
  <si>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</si>
  <si>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</si>
  <si>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</si>
  <si>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</si>
  <si>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</si>
  <si>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</si>
  <si>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</si>
  <si>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</si>
  <si>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</si>
  <si>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</si>
  <si>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</si>
  <si>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</si>
  <si>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</si>
  <si>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</si>
  <si>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</si>
  <si>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</si>
  <si>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</si>
  <si>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</si>
  <si>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</si>
  <si>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</si>
  <si>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</si>
  <si>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</si>
  <si>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</si>
  <si>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</si>
  <si>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</si>
  <si>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</si>
  <si>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</si>
  <si>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</si>
  <si>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</si>
  <si>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</si>
  <si>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</si>
  <si>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</si>
  <si>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</si>
  <si>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</si>
  <si>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</si>
  <si>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</si>
  <si>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</si>
  <si>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</si>
  <si>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</si>
  <si>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</si>
  <si>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</si>
  <si>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</si>
  <si>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</si>
  <si>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</si>
  <si>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</si>
  <si>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</si>
  <si>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</si>
  <si>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</si>
  <si>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</si>
  <si>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</si>
  <si>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</si>
  <si>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</si>
  <si>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</si>
  <si>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</si>
  <si>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</si>
  <si>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</si>
  <si>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</si>
  <si>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</si>
  <si>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</si>
  <si>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</si>
  <si>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</si>
  <si>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</si>
  <si>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</si>
  <si>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</si>
  <si>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</si>
  <si>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</si>
  <si>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</si>
  <si>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</si>
  <si>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</si>
  <si>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</si>
  <si>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</si>
  <si>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</si>
  <si>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</si>
  <si>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</si>
  <si>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</si>
  <si>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</si>
  <si>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</si>
  <si>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</si>
  <si>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</si>
  <si>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</si>
  <si>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</si>
  <si>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</si>
  <si>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</si>
  <si>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</si>
  <si>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</si>
  <si>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</si>
  <si>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</si>
  <si>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</si>
  <si>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</si>
  <si>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</si>
  <si>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</si>
  <si>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</si>
  <si>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</si>
  <si>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</si>
  <si>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</si>
  <si>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</si>
  <si>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</si>
  <si>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</si>
  <si>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</si>
  <si>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</si>
  <si>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</si>
  <si>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</si>
  <si>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</si>
  <si>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</si>
  <si>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</si>
  <si>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</si>
  <si>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</si>
  <si>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</si>
  <si>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</si>
  <si>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</si>
  <si>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</si>
  <si>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</si>
  <si>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</si>
  <si>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</si>
  <si>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</si>
  <si>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</si>
  <si>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</si>
  <si>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</si>
  <si>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</si>
  <si>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</si>
  <si>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</si>
  <si>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</si>
  <si>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</si>
  <si>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</si>
  <si>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</si>
  <si>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</si>
  <si>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</si>
  <si>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</si>
  <si>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</si>
  <si>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</si>
  <si>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</si>
  <si>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</si>
  <si>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</si>
  <si>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</si>
  <si>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</si>
  <si>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</si>
  <si>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</si>
  <si>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</si>
  <si>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</si>
  <si>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</si>
  <si>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</si>
  <si>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</si>
  <si>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</si>
  <si>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</si>
  <si>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</si>
  <si>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</si>
  <si>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</si>
  <si>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</si>
  <si>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</si>
  <si>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</si>
  <si>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</si>
  <si>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</si>
  <si>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</si>
  <si>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</si>
  <si>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</si>
  <si>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</si>
  <si>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</si>
  <si>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</si>
  <si>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</si>
  <si>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</si>
  <si>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</si>
  <si>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</si>
  <si>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</si>
  <si>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</si>
  <si>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</si>
  <si>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</si>
  <si>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</si>
  <si>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</si>
  <si>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</si>
  <si>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</si>
  <si>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</si>
  <si>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</si>
  <si>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</si>
  <si>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</si>
  <si>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</si>
  <si>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</si>
  <si>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</si>
  <si>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</si>
  <si>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POWIAT RYBNICKI</t>
  </si>
  <si>
    <t>POWIAT KŁOBUCKI</t>
  </si>
  <si>
    <t>Remont odcinka drogi powiatowej nr 5614S ulica Wolności w Bełku od skrzyżowania z ulicą Bełkowską do skrzyżowania z ulicą Szymochy</t>
  </si>
  <si>
    <t>GMINA OLSZTYN</t>
  </si>
  <si>
    <t>GMINA OŻAROWICE</t>
  </si>
  <si>
    <t>GMINA KŁOBUCK</t>
  </si>
  <si>
    <t>GMINA ZBROSŁAWICE</t>
  </si>
  <si>
    <t>GMINA DĘBOWIEC</t>
  </si>
  <si>
    <t>GMINA PORĘBA</t>
  </si>
  <si>
    <t>MIASTO BIELSKO-BIAŁA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</si>
  <si>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</si>
  <si>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</si>
  <si>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</si>
  <si>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</si>
  <si>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</si>
  <si>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</si>
  <si>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</si>
  <si>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</si>
  <si>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</si>
  <si>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</si>
  <si>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</si>
  <si>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</si>
  <si>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</si>
  <si>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</si>
  <si>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</si>
  <si>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</si>
  <si>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</si>
  <si>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</si>
  <si>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</si>
  <si>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</si>
  <si>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luty 2020 - listopad 2021</t>
  </si>
  <si>
    <t>czerwiec 2020 - październik 2021</t>
  </si>
  <si>
    <t>kwiecień 2020 - październik 2021</t>
  </si>
  <si>
    <t>marzec 2020 - sierpień 2020</t>
  </si>
  <si>
    <t>czerwiec 2020 - listopad 2022</t>
  </si>
  <si>
    <t>GMINA JAWORZE</t>
  </si>
  <si>
    <t>297/19</t>
  </si>
  <si>
    <t>301/19</t>
  </si>
  <si>
    <t>Przebudowa drogi publicznej nr 672 018S ul. Kalwaria w Jaworzu</t>
  </si>
  <si>
    <t>Przebudowa ulicy Głębokiej, droga gminna nr 390104 S w Cieszynie</t>
  </si>
  <si>
    <t>GMINA CIESZYN*</t>
  </si>
  <si>
    <t>marzec 2020  - październik 2020</t>
  </si>
  <si>
    <t>* Kwota dofinansowania zmniejszona z uwagi na osiągnięcie ustawowej wartości list rezerwowych. Nie ma możliwości zwiększenia kwoty dofinansowania. Realizacja zadania będzie wymagała zabezpieczenia wkładu własnego wnioskodawcy w większej wysokości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</si>
  <si>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</si>
  <si>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</si>
  <si>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</si>
  <si>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</si>
  <si>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</si>
  <si>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</si>
  <si>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</si>
  <si>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18*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</si>
  <si>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</si>
  <si>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</si>
  <si>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</si>
  <si>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</si>
  <si>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</si>
  <si>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</si>
  <si>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</si>
  <si>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39**</t>
  </si>
  <si>
    <t>** Kwota dofinansowania zmniejszona do limitu dostępnych środków Funduszu Dróg Samorządowych; zwiększenie dofinansowania możliwe w przypadku wystąpienia oszczędności. W przypadku braku oszczędności w Funduszu, realizacja zadania będzie wymagała zabezpieczenia wkładu własnego wnioskodawcy w większej wysokości.</t>
  </si>
  <si>
    <t>36*</t>
  </si>
  <si>
    <t>37*</t>
  </si>
  <si>
    <t>38*</t>
  </si>
  <si>
    <t>* Kwota dofinansowania w 2021 r.  zmniejszona do limitu dostępnych środków Funduszu Dróg Samorządowych na zadania powiatowe; zwiększenie dofinansowania możliwe w przypadku wystąpienia oszczędności. W przypadku braku oszczędności w Funduszu, realizacja zadania będzie wymagała zabezpieczenia wkładu własnego wnioskodawcy w większej wysokości.</t>
  </si>
  <si>
    <t>lipiec 2020 - listopad 2021</t>
  </si>
  <si>
    <t>czerwiec 2020 - maj 2022</t>
  </si>
  <si>
    <t>lipiec 2020 - październik 2021</t>
  </si>
  <si>
    <t>czerwiec 2020 -maj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</si>
  <si>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</si>
  <si>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</si>
  <si>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</si>
  <si>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</si>
  <si>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</si>
  <si>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</si>
  <si>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</si>
  <si>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</si>
  <si>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</si>
  <si>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</si>
  <si>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</si>
  <si>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lipiec 2020 - marzec 2022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</si>
  <si>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</si>
  <si>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</si>
  <si>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</si>
  <si>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</si>
  <si>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</si>
  <si>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</si>
  <si>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72*</t>
  </si>
  <si>
    <t>Lista zmieniona nr 2 zadań rekomendowanych do dofinansowania w ramach Funduszu Dróg Samorządowych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</si>
  <si>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</si>
  <si>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</si>
  <si>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</si>
  <si>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MIASTO RYBNIK
 (zadanie przeniesione na listę
podstawową)</t>
  </si>
  <si>
    <t>ZATWIERDZAM
Dorota Wójtowicz
z up. WOJEWODY ŚLĄSKIEGO
-podpisano cyfrowo-
Katowice, 20 lipca 2020 r.</t>
  </si>
</sst>
</file>

<file path=xl/styles.xml><?xml version="1.0" encoding="utf-8"?>
<styleSheet xmlns="http://schemas.openxmlformats.org/spreadsheetml/2006/main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6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8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1" fillId="0" borderId="0"/>
  </cellStyleXfs>
  <cellXfs count="56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4" fillId="0" borderId="0" xfId="0" applyFont="1"/>
    <xf numFmtId="0" fontId="17" fillId="0" borderId="0" xfId="0" applyFont="1"/>
    <xf numFmtId="0" fontId="0" fillId="0" borderId="0" xfId="0" applyFill="1" applyAlignment="1">
      <alignment vertical="center"/>
    </xf>
    <xf numFmtId="0" fontId="17" fillId="0" borderId="0" xfId="0" applyFont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9" fontId="22" fillId="0" borderId="1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20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20" fillId="0" borderId="36" xfId="0" applyFont="1" applyFill="1" applyBorder="1" applyAlignment="1">
      <alignment horizontal="left" vertical="center" indent="2"/>
    </xf>
    <xf numFmtId="165" fontId="20" fillId="5" borderId="40" xfId="0" applyNumberFormat="1" applyFont="1" applyFill="1" applyBorder="1" applyAlignment="1">
      <alignment vertical="center"/>
    </xf>
    <xf numFmtId="0" fontId="21" fillId="3" borderId="28" xfId="0" applyFont="1" applyFill="1" applyBorder="1" applyAlignment="1">
      <alignment vertical="center"/>
    </xf>
    <xf numFmtId="165" fontId="21" fillId="3" borderId="30" xfId="0" applyNumberFormat="1" applyFont="1" applyFill="1" applyBorder="1" applyAlignment="1">
      <alignment vertical="center"/>
    </xf>
    <xf numFmtId="165" fontId="21" fillId="3" borderId="31" xfId="0" applyNumberFormat="1" applyFont="1" applyFill="1" applyBorder="1" applyAlignment="1">
      <alignment vertical="center"/>
    </xf>
    <xf numFmtId="165" fontId="21" fillId="5" borderId="32" xfId="0" applyNumberFormat="1" applyFont="1" applyFill="1" applyBorder="1" applyAlignment="1">
      <alignment vertical="center"/>
    </xf>
    <xf numFmtId="165" fontId="21" fillId="3" borderId="29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0" fontId="20" fillId="3" borderId="34" xfId="0" applyFont="1" applyFill="1" applyBorder="1" applyAlignment="1">
      <alignment horizontal="left" vertical="center" wrapText="1" indent="2"/>
    </xf>
    <xf numFmtId="165" fontId="20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20" fillId="3" borderId="36" xfId="0" applyFont="1" applyFill="1" applyBorder="1" applyAlignment="1">
      <alignment horizontal="left" vertical="center" indent="2"/>
    </xf>
    <xf numFmtId="165" fontId="20" fillId="3" borderId="38" xfId="0" applyNumberFormat="1" applyFont="1" applyFill="1" applyBorder="1" applyAlignment="1">
      <alignment vertical="center"/>
    </xf>
    <xf numFmtId="165" fontId="20" fillId="3" borderId="39" xfId="0" applyNumberFormat="1" applyFont="1" applyFill="1" applyBorder="1" applyAlignment="1">
      <alignment vertical="center"/>
    </xf>
    <xf numFmtId="165" fontId="20" fillId="3" borderId="37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165" fontId="20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20" fillId="6" borderId="36" xfId="0" applyFont="1" applyFill="1" applyBorder="1" applyAlignment="1">
      <alignment horizontal="left" vertical="center" indent="2"/>
    </xf>
    <xf numFmtId="165" fontId="20" fillId="6" borderId="38" xfId="0" applyNumberFormat="1" applyFont="1" applyFill="1" applyBorder="1" applyAlignment="1">
      <alignment vertical="center"/>
    </xf>
    <xf numFmtId="9" fontId="22" fillId="0" borderId="1" xfId="5" applyFont="1" applyFill="1" applyBorder="1" applyAlignment="1">
      <alignment vertical="center" wrapText="1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20" fillId="2" borderId="39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20" fillId="2" borderId="37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165" fontId="13" fillId="2" borderId="30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 wrapText="1"/>
    </xf>
    <xf numFmtId="0" fontId="25" fillId="0" borderId="0" xfId="0" applyFont="1"/>
    <xf numFmtId="0" fontId="25" fillId="0" borderId="1" xfId="0" applyFont="1" applyFill="1" applyBorder="1" applyAlignment="1">
      <alignment horizontal="left" vertical="center" wrapText="1"/>
    </xf>
    <xf numFmtId="0" fontId="25" fillId="0" borderId="3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5" fillId="0" borderId="0" xfId="0" applyFont="1" applyAlignment="1">
      <alignment horizontal="left"/>
    </xf>
    <xf numFmtId="0" fontId="25" fillId="0" borderId="30" xfId="0" applyFont="1" applyFill="1" applyBorder="1" applyAlignment="1">
      <alignment horizontal="left" vertical="center"/>
    </xf>
    <xf numFmtId="0" fontId="0" fillId="0" borderId="42" xfId="0" applyBorder="1" applyAlignment="1">
      <alignment horizontal="left"/>
    </xf>
    <xf numFmtId="0" fontId="25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/>
    </xf>
    <xf numFmtId="0" fontId="29" fillId="0" borderId="0" xfId="0" applyFont="1" applyAlignment="1">
      <alignment horizontal="left" vertical="center"/>
    </xf>
    <xf numFmtId="0" fontId="25" fillId="0" borderId="42" xfId="0" applyFont="1" applyBorder="1"/>
    <xf numFmtId="4" fontId="30" fillId="0" borderId="2" xfId="0" applyNumberFormat="1" applyFont="1" applyFill="1" applyBorder="1" applyAlignment="1">
      <alignment horizontal="right" vertical="center"/>
    </xf>
    <xf numFmtId="4" fontId="30" fillId="0" borderId="1" xfId="0" applyNumberFormat="1" applyFont="1" applyFill="1" applyBorder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1" applyFont="1" applyFill="1" applyAlignment="1">
      <alignment horizontal="center" vertical="center"/>
    </xf>
    <xf numFmtId="0" fontId="27" fillId="0" borderId="0" xfId="1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4" fontId="30" fillId="0" borderId="1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9" fontId="30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right" vertical="center" wrapText="1"/>
    </xf>
    <xf numFmtId="0" fontId="33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2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25" fillId="0" borderId="3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horizontal="center" vertical="center" wrapText="1" shrinkToFit="1"/>
    </xf>
    <xf numFmtId="0" fontId="33" fillId="0" borderId="0" xfId="0" applyFont="1" applyFill="1" applyAlignment="1">
      <alignment horizontal="center" vertical="center"/>
    </xf>
    <xf numFmtId="43" fontId="27" fillId="0" borderId="1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9" fontId="27" fillId="0" borderId="0" xfId="2" applyFont="1" applyFill="1" applyAlignment="1">
      <alignment horizontal="center" vertical="center"/>
    </xf>
    <xf numFmtId="4" fontId="27" fillId="0" borderId="0" xfId="0" applyNumberFormat="1" applyFont="1" applyFill="1" applyAlignment="1">
      <alignment horizontal="center" vertical="center"/>
    </xf>
    <xf numFmtId="4" fontId="27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43" fontId="33" fillId="0" borderId="1" xfId="0" applyNumberFormat="1" applyFont="1" applyFill="1" applyBorder="1" applyAlignment="1">
      <alignment horizontal="center" vertical="center"/>
    </xf>
    <xf numFmtId="9" fontId="33" fillId="0" borderId="0" xfId="2" applyFont="1" applyFill="1" applyAlignment="1">
      <alignment horizontal="center" vertical="center"/>
    </xf>
    <xf numFmtId="4" fontId="33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166" fontId="7" fillId="0" borderId="1" xfId="0" applyNumberFormat="1" applyFont="1" applyFill="1" applyBorder="1" applyAlignment="1">
      <alignment horizontal="center" vertical="center"/>
    </xf>
    <xf numFmtId="4" fontId="34" fillId="0" borderId="1" xfId="0" applyNumberFormat="1" applyFont="1" applyFill="1" applyBorder="1" applyAlignment="1">
      <alignment horizontal="center" vertical="center" wrapText="1"/>
    </xf>
    <xf numFmtId="4" fontId="34" fillId="0" borderId="1" xfId="0" applyNumberFormat="1" applyFont="1" applyFill="1" applyBorder="1" applyAlignment="1">
      <alignment vertical="center" wrapText="1"/>
    </xf>
    <xf numFmtId="4" fontId="33" fillId="0" borderId="0" xfId="0" applyNumberFormat="1" applyFont="1" applyFill="1" applyAlignment="1">
      <alignment vertical="center"/>
    </xf>
    <xf numFmtId="166" fontId="30" fillId="0" borderId="1" xfId="0" applyNumberFormat="1" applyFont="1" applyFill="1" applyBorder="1" applyAlignment="1">
      <alignment horizontal="center" vertical="center"/>
    </xf>
    <xf numFmtId="165" fontId="14" fillId="6" borderId="32" xfId="0" applyNumberFormat="1" applyFont="1" applyFill="1" applyBorder="1" applyAlignment="1">
      <alignment vertical="center"/>
    </xf>
    <xf numFmtId="0" fontId="18" fillId="0" borderId="0" xfId="0" applyFont="1"/>
    <xf numFmtId="0" fontId="38" fillId="0" borderId="1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166" fontId="38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 wrapText="1"/>
    </xf>
    <xf numFmtId="0" fontId="25" fillId="0" borderId="30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38" fillId="0" borderId="1" xfId="0" applyFont="1" applyFill="1" applyBorder="1" applyAlignment="1">
      <alignment horizontal="center" vertical="center"/>
    </xf>
    <xf numFmtId="0" fontId="43" fillId="0" borderId="0" xfId="0" applyFont="1"/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NumberFormat="1" applyFont="1" applyFill="1" applyBorder="1" applyAlignment="1">
      <alignment horizont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7" xfId="0" applyFont="1" applyFill="1" applyBorder="1" applyAlignment="1">
      <alignment horizontal="center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center" vertical="center" wrapText="1"/>
    </xf>
    <xf numFmtId="166" fontId="38" fillId="0" borderId="4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 wrapText="1"/>
    </xf>
    <xf numFmtId="167" fontId="25" fillId="0" borderId="1" xfId="0" applyNumberFormat="1" applyFont="1" applyFill="1" applyBorder="1" applyAlignment="1">
      <alignment horizontal="left" vertical="center" wrapText="1"/>
    </xf>
    <xf numFmtId="0" fontId="32" fillId="0" borderId="0" xfId="0" applyFont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0" fillId="0" borderId="45" xfId="0" applyBorder="1" applyAlignment="1">
      <alignment horizontal="left"/>
    </xf>
    <xf numFmtId="0" fontId="15" fillId="0" borderId="3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left" vertical="center" wrapText="1"/>
    </xf>
    <xf numFmtId="164" fontId="25" fillId="0" borderId="4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22" fillId="0" borderId="0" xfId="1" applyFont="1" applyFill="1" applyAlignment="1">
      <alignment horizontal="center" vertical="center"/>
    </xf>
    <xf numFmtId="4" fontId="37" fillId="0" borderId="1" xfId="0" applyNumberFormat="1" applyFont="1" applyFill="1" applyBorder="1" applyAlignment="1">
      <alignment vertical="center"/>
    </xf>
    <xf numFmtId="4" fontId="39" fillId="0" borderId="4" xfId="0" applyNumberFormat="1" applyFont="1" applyFill="1" applyBorder="1" applyAlignment="1">
      <alignment vertical="center"/>
    </xf>
    <xf numFmtId="4" fontId="39" fillId="0" borderId="30" xfId="0" applyNumberFormat="1" applyFont="1" applyFill="1" applyBorder="1" applyAlignment="1">
      <alignment vertical="center"/>
    </xf>
    <xf numFmtId="0" fontId="38" fillId="0" borderId="5" xfId="0" applyFont="1" applyFill="1" applyBorder="1" applyAlignment="1">
      <alignment horizontal="center" vertical="center"/>
    </xf>
    <xf numFmtId="43" fontId="2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165" fontId="14" fillId="6" borderId="5" xfId="0" applyNumberFormat="1" applyFont="1" applyFill="1" applyBorder="1" applyAlignment="1">
      <alignment vertical="center"/>
    </xf>
    <xf numFmtId="0" fontId="13" fillId="6" borderId="46" xfId="0" applyFont="1" applyFill="1" applyBorder="1" applyAlignment="1">
      <alignment horizontal="left" vertical="center" indent="2"/>
    </xf>
    <xf numFmtId="0" fontId="20" fillId="6" borderId="34" xfId="0" applyFont="1" applyFill="1" applyBorder="1" applyAlignment="1">
      <alignment horizontal="left" vertical="center" indent="2"/>
    </xf>
    <xf numFmtId="165" fontId="20" fillId="6" borderId="1" xfId="0" applyNumberFormat="1" applyFont="1" applyFill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0" fontId="50" fillId="0" borderId="30" xfId="0" applyFont="1" applyFill="1" applyBorder="1" applyAlignment="1">
      <alignment horizontal="center" vertical="center" wrapText="1"/>
    </xf>
    <xf numFmtId="0" fontId="51" fillId="0" borderId="30" xfId="0" applyFont="1" applyFill="1" applyBorder="1" applyAlignment="1">
      <alignment vertical="center"/>
    </xf>
    <xf numFmtId="0" fontId="51" fillId="0" borderId="30" xfId="0" applyFont="1" applyFill="1" applyBorder="1" applyAlignment="1">
      <alignment vertical="center" wrapText="1"/>
    </xf>
    <xf numFmtId="0" fontId="51" fillId="0" borderId="30" xfId="0" applyFont="1" applyFill="1" applyBorder="1" applyAlignment="1">
      <alignment horizontal="center" vertical="center" wrapText="1"/>
    </xf>
    <xf numFmtId="0" fontId="51" fillId="0" borderId="30" xfId="0" applyNumberFormat="1" applyFont="1" applyFill="1" applyBorder="1" applyAlignment="1">
      <alignment horizontal="center" vertical="center"/>
    </xf>
    <xf numFmtId="4" fontId="52" fillId="0" borderId="30" xfId="0" applyNumberFormat="1" applyFont="1" applyFill="1" applyBorder="1" applyAlignment="1">
      <alignment vertical="center" wrapText="1"/>
    </xf>
    <xf numFmtId="4" fontId="52" fillId="0" borderId="31" xfId="0" applyNumberFormat="1" applyFont="1" applyFill="1" applyBorder="1" applyAlignment="1">
      <alignment vertical="center"/>
    </xf>
    <xf numFmtId="4" fontId="52" fillId="0" borderId="43" xfId="0" applyNumberFormat="1" applyFont="1" applyFill="1" applyBorder="1" applyAlignment="1">
      <alignment vertical="center" wrapText="1"/>
    </xf>
    <xf numFmtId="4" fontId="52" fillId="0" borderId="5" xfId="0" applyNumberFormat="1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vertical="center"/>
    </xf>
    <xf numFmtId="0" fontId="51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" xfId="0" applyNumberFormat="1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vertical="center" wrapText="1"/>
    </xf>
    <xf numFmtId="4" fontId="52" fillId="0" borderId="2" xfId="0" applyNumberFormat="1" applyFont="1" applyFill="1" applyBorder="1" applyAlignment="1">
      <alignment vertical="center"/>
    </xf>
    <xf numFmtId="4" fontId="52" fillId="0" borderId="4" xfId="0" applyNumberFormat="1" applyFont="1" applyFill="1" applyBorder="1" applyAlignment="1">
      <alignment vertical="center" wrapText="1"/>
    </xf>
    <xf numFmtId="0" fontId="50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vertical="center"/>
    </xf>
    <xf numFmtId="4" fontId="52" fillId="0" borderId="44" xfId="0" applyNumberFormat="1" applyFont="1" applyFill="1" applyBorder="1" applyAlignment="1">
      <alignment vertical="center" wrapText="1"/>
    </xf>
    <xf numFmtId="4" fontId="52" fillId="0" borderId="7" xfId="0" applyNumberFormat="1" applyFont="1" applyFill="1" applyBorder="1" applyAlignment="1">
      <alignment vertical="center"/>
    </xf>
    <xf numFmtId="16" fontId="51" fillId="0" borderId="1" xfId="0" applyNumberFormat="1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50" fillId="0" borderId="2" xfId="0" applyFont="1" applyFill="1" applyBorder="1" applyAlignment="1">
      <alignment horizontal="center" vertical="center" wrapText="1"/>
    </xf>
    <xf numFmtId="0" fontId="54" fillId="0" borderId="1" xfId="0" applyFont="1" applyFill="1" applyBorder="1" applyAlignment="1">
      <alignment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wrapText="1"/>
    </xf>
    <xf numFmtId="166" fontId="50" fillId="0" borderId="1" xfId="0" applyNumberFormat="1" applyFont="1" applyFill="1" applyBorder="1" applyAlignment="1">
      <alignment horizontal="center" vertical="center"/>
    </xf>
    <xf numFmtId="164" fontId="5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wrapText="1"/>
    </xf>
    <xf numFmtId="166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4" fontId="56" fillId="0" borderId="1" xfId="0" applyNumberFormat="1" applyFont="1" applyFill="1" applyBorder="1" applyAlignment="1">
      <alignment vertical="center"/>
    </xf>
    <xf numFmtId="4" fontId="56" fillId="0" borderId="2" xfId="0" applyNumberFormat="1" applyFont="1" applyFill="1" applyBorder="1" applyAlignment="1">
      <alignment vertical="center"/>
    </xf>
    <xf numFmtId="4" fontId="56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wrapText="1"/>
    </xf>
    <xf numFmtId="166" fontId="4" fillId="0" borderId="4" xfId="0" applyNumberFormat="1" applyFont="1" applyFill="1" applyBorder="1" applyAlignment="1">
      <alignment horizontal="center" vertical="center"/>
    </xf>
    <xf numFmtId="4" fontId="56" fillId="0" borderId="4" xfId="0" applyNumberFormat="1" applyFont="1" applyFill="1" applyBorder="1" applyAlignment="1">
      <alignment vertical="center"/>
    </xf>
    <xf numFmtId="4" fontId="56" fillId="0" borderId="7" xfId="0" applyNumberFormat="1" applyFont="1" applyFill="1" applyBorder="1" applyAlignment="1">
      <alignment vertical="center"/>
    </xf>
    <xf numFmtId="4" fontId="56" fillId="0" borderId="4" xfId="0" applyNumberFormat="1" applyFont="1" applyFill="1" applyBorder="1" applyAlignment="1">
      <alignment vertical="center" wrapText="1"/>
    </xf>
    <xf numFmtId="166" fontId="56" fillId="0" borderId="1" xfId="0" applyNumberFormat="1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9" fontId="49" fillId="0" borderId="0" xfId="2" applyFont="1" applyFill="1" applyAlignment="1">
      <alignment horizontal="center" vertical="center"/>
    </xf>
    <xf numFmtId="4" fontId="49" fillId="0" borderId="0" xfId="0" applyNumberFormat="1" applyFont="1" applyFill="1" applyAlignment="1">
      <alignment horizontal="center" vertical="center"/>
    </xf>
    <xf numFmtId="166" fontId="52" fillId="0" borderId="1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9" fontId="52" fillId="0" borderId="1" xfId="0" applyNumberFormat="1" applyFont="1" applyFill="1" applyBorder="1" applyAlignment="1">
      <alignment horizontal="center" vertical="center"/>
    </xf>
    <xf numFmtId="9" fontId="56" fillId="0" borderId="1" xfId="0" applyNumberFormat="1" applyFont="1" applyFill="1" applyBorder="1" applyAlignment="1">
      <alignment horizontal="center" vertical="center"/>
    </xf>
    <xf numFmtId="9" fontId="56" fillId="0" borderId="4" xfId="0" applyNumberFormat="1" applyFont="1" applyFill="1" applyBorder="1" applyAlignment="1">
      <alignment horizontal="center"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0" fillId="0" borderId="47" xfId="0" applyBorder="1" applyAlignment="1">
      <alignment horizontal="center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2" fillId="0" borderId="0" xfId="1" applyFont="1" applyFill="1" applyAlignment="1">
      <alignment horizontal="left" vertical="center"/>
    </xf>
    <xf numFmtId="0" fontId="27" fillId="0" borderId="0" xfId="1" applyFont="1" applyFill="1" applyAlignment="1">
      <alignment horizontal="left" vertical="center"/>
    </xf>
    <xf numFmtId="0" fontId="5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6" fillId="0" borderId="1" xfId="0" applyNumberFormat="1" applyFont="1" applyFill="1" applyBorder="1" applyAlignment="1">
      <alignment horizontal="right" vertical="center"/>
    </xf>
    <xf numFmtId="43" fontId="52" fillId="0" borderId="1" xfId="6" applyFont="1" applyFill="1" applyBorder="1" applyAlignment="1">
      <alignment horizontal="center" vertical="center"/>
    </xf>
    <xf numFmtId="4" fontId="52" fillId="0" borderId="1" xfId="0" applyNumberFormat="1" applyFont="1" applyFill="1" applyBorder="1" applyAlignment="1">
      <alignment horizontal="right" vertical="center"/>
    </xf>
    <xf numFmtId="0" fontId="57" fillId="0" borderId="1" xfId="0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vertical="center" wrapText="1"/>
    </xf>
    <xf numFmtId="43" fontId="59" fillId="0" borderId="1" xfId="6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3" fontId="56" fillId="0" borderId="1" xfId="6" applyFont="1" applyFill="1" applyBorder="1" applyAlignment="1">
      <alignment vertical="center"/>
    </xf>
    <xf numFmtId="0" fontId="51" fillId="0" borderId="1" xfId="0" applyFont="1" applyFill="1" applyBorder="1" applyAlignment="1">
      <alignment horizontal="center" vertical="center"/>
    </xf>
    <xf numFmtId="0" fontId="50" fillId="0" borderId="1" xfId="0" applyNumberFormat="1" applyFont="1" applyFill="1" applyBorder="1" applyAlignment="1">
      <alignment horizontal="center" vertical="center"/>
    </xf>
    <xf numFmtId="43" fontId="52" fillId="0" borderId="1" xfId="6" applyFont="1" applyFill="1" applyBorder="1" applyAlignment="1">
      <alignment vertical="center"/>
    </xf>
    <xf numFmtId="0" fontId="58" fillId="0" borderId="1" xfId="0" applyFont="1" applyFill="1" applyBorder="1" applyAlignment="1">
      <alignment horizontal="center" vertical="center"/>
    </xf>
    <xf numFmtId="43" fontId="59" fillId="0" borderId="1" xfId="6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52" fillId="0" borderId="1" xfId="0" applyNumberFormat="1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center"/>
    </xf>
    <xf numFmtId="165" fontId="13" fillId="4" borderId="48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20" fillId="4" borderId="49" xfId="0" applyNumberFormat="1" applyFont="1" applyFill="1" applyBorder="1" applyAlignment="1">
      <alignment vertical="center"/>
    </xf>
    <xf numFmtId="165" fontId="20" fillId="6" borderId="35" xfId="0" applyNumberFormat="1" applyFont="1" applyFill="1" applyBorder="1" applyAlignment="1">
      <alignment vertical="center"/>
    </xf>
    <xf numFmtId="165" fontId="14" fillId="6" borderId="48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0" fontId="13" fillId="4" borderId="46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20" fillId="4" borderId="50" xfId="0" applyFont="1" applyFill="1" applyBorder="1" applyAlignment="1">
      <alignment horizontal="left" vertical="center" indent="2"/>
    </xf>
    <xf numFmtId="0" fontId="48" fillId="0" borderId="3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3" fillId="0" borderId="29" xfId="0" applyNumberFormat="1" applyFont="1" applyFill="1" applyBorder="1" applyAlignment="1">
      <alignment horizontal="center" vertical="center"/>
    </xf>
    <xf numFmtId="0" fontId="20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20" fillId="2" borderId="37" xfId="0" applyNumberFormat="1" applyFont="1" applyFill="1" applyBorder="1" applyAlignment="1">
      <alignment horizontal="center" vertical="center"/>
    </xf>
    <xf numFmtId="0" fontId="21" fillId="3" borderId="29" xfId="0" applyNumberFormat="1" applyFont="1" applyFill="1" applyBorder="1" applyAlignment="1">
      <alignment horizontal="center" vertical="center"/>
    </xf>
    <xf numFmtId="0" fontId="20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20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20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20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20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164" fontId="18" fillId="0" borderId="4" xfId="0" applyNumberFormat="1" applyFont="1" applyFill="1" applyBorder="1" applyAlignment="1">
      <alignment horizontal="left" vertical="center" wrapText="1"/>
    </xf>
    <xf numFmtId="4" fontId="37" fillId="0" borderId="4" xfId="0" applyNumberFormat="1" applyFont="1" applyFill="1" applyBorder="1" applyAlignment="1">
      <alignment vertical="center"/>
    </xf>
    <xf numFmtId="4" fontId="37" fillId="0" borderId="7" xfId="0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165" fontId="0" fillId="0" borderId="0" xfId="0" applyNumberFormat="1"/>
    <xf numFmtId="0" fontId="50" fillId="0" borderId="1" xfId="0" applyFont="1" applyFill="1" applyBorder="1" applyAlignment="1">
      <alignment vertical="center" wrapText="1"/>
    </xf>
    <xf numFmtId="4" fontId="0" fillId="0" borderId="0" xfId="0" applyNumberFormat="1" applyAlignment="1">
      <alignment horizontal="left"/>
    </xf>
    <xf numFmtId="4" fontId="52" fillId="0" borderId="2" xfId="0" applyNumberFormat="1" applyFont="1" applyFill="1" applyBorder="1" applyAlignment="1">
      <alignment horizontal="right" vertical="center"/>
    </xf>
    <xf numFmtId="4" fontId="52" fillId="0" borderId="1" xfId="0" applyNumberFormat="1" applyFont="1" applyFill="1" applyBorder="1" applyAlignment="1">
      <alignment horizontal="right" vertical="center" wrapText="1"/>
    </xf>
    <xf numFmtId="0" fontId="57" fillId="0" borderId="1" xfId="0" applyFont="1" applyFill="1" applyBorder="1" applyAlignment="1">
      <alignment horizontal="center" vertical="center" wrapText="1"/>
    </xf>
    <xf numFmtId="4" fontId="56" fillId="0" borderId="2" xfId="0" applyNumberFormat="1" applyFont="1" applyFill="1" applyBorder="1" applyAlignment="1">
      <alignment horizontal="right" vertical="center"/>
    </xf>
    <xf numFmtId="4" fontId="56" fillId="0" borderId="1" xfId="0" applyNumberFormat="1" applyFont="1" applyFill="1" applyBorder="1" applyAlignment="1">
      <alignment horizontal="right" vertical="center" wrapText="1"/>
    </xf>
    <xf numFmtId="43" fontId="52" fillId="0" borderId="1" xfId="0" applyNumberFormat="1" applyFont="1" applyFill="1" applyBorder="1" applyAlignment="1">
      <alignment horizontal="center" vertical="center"/>
    </xf>
    <xf numFmtId="43" fontId="59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65" fontId="10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52" fillId="0" borderId="30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0" fontId="38" fillId="0" borderId="31" xfId="0" applyFont="1" applyFill="1" applyBorder="1" applyAlignment="1">
      <alignment horizontal="center" vertical="center" wrapText="1"/>
    </xf>
    <xf numFmtId="4" fontId="41" fillId="0" borderId="30" xfId="0" applyNumberFormat="1" applyFont="1" applyFill="1" applyBorder="1" applyAlignment="1">
      <alignment vertical="center" wrapText="1"/>
    </xf>
    <xf numFmtId="9" fontId="39" fillId="0" borderId="30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 wrapText="1"/>
    </xf>
    <xf numFmtId="9" fontId="39" fillId="0" borderId="1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/>
    </xf>
    <xf numFmtId="4" fontId="44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7" borderId="0" xfId="0" applyFill="1" applyAlignment="1">
      <alignment horizontal="left"/>
    </xf>
    <xf numFmtId="4" fontId="37" fillId="8" borderId="2" xfId="0" applyNumberFormat="1" applyFont="1" applyFill="1" applyBorder="1" applyAlignment="1">
      <alignment vertical="center"/>
    </xf>
    <xf numFmtId="4" fontId="37" fillId="8" borderId="1" xfId="0" applyNumberFormat="1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 shrinkToFit="1"/>
    </xf>
    <xf numFmtId="0" fontId="52" fillId="0" borderId="9" xfId="0" applyFont="1" applyFill="1" applyBorder="1" applyAlignment="1">
      <alignment horizontal="center" vertical="center" wrapText="1" shrinkToFit="1"/>
    </xf>
    <xf numFmtId="0" fontId="52" fillId="0" borderId="3" xfId="0" applyFont="1" applyFill="1" applyBorder="1" applyAlignment="1">
      <alignment horizontal="center" vertical="center" wrapText="1" shrinkToFit="1"/>
    </xf>
    <xf numFmtId="0" fontId="56" fillId="0" borderId="2" xfId="0" applyFont="1" applyFill="1" applyBorder="1" applyAlignment="1">
      <alignment horizontal="center" vertical="center" wrapText="1" shrinkToFit="1"/>
    </xf>
    <xf numFmtId="0" fontId="56" fillId="0" borderId="9" xfId="0" applyFont="1" applyFill="1" applyBorder="1" applyAlignment="1">
      <alignment horizontal="center" vertical="center" wrapText="1" shrinkToFit="1"/>
    </xf>
    <xf numFmtId="0" fontId="56" fillId="0" borderId="3" xfId="0" applyFont="1" applyFill="1" applyBorder="1" applyAlignment="1">
      <alignment horizontal="center" vertical="center" wrapText="1" shrinkToFi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vertical="center" shrinkToFit="1"/>
    </xf>
    <xf numFmtId="0" fontId="51" fillId="0" borderId="6" xfId="0" applyFont="1" applyFill="1" applyBorder="1" applyAlignment="1">
      <alignment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43" fontId="24" fillId="0" borderId="1" xfId="6" applyFont="1" applyFill="1" applyBorder="1" applyAlignment="1">
      <alignment horizontal="center" vertical="center"/>
    </xf>
    <xf numFmtId="4" fontId="62" fillId="0" borderId="2" xfId="0" applyNumberFormat="1" applyFont="1" applyFill="1" applyBorder="1" applyAlignment="1">
      <alignment vertical="center"/>
    </xf>
    <xf numFmtId="4" fontId="62" fillId="0" borderId="1" xfId="0" applyNumberFormat="1" applyFont="1" applyFill="1" applyBorder="1" applyAlignment="1">
      <alignment vertical="center" wrapText="1"/>
    </xf>
    <xf numFmtId="9" fontId="62" fillId="0" borderId="1" xfId="0" applyNumberFormat="1" applyFont="1" applyFill="1" applyBorder="1" applyAlignment="1">
      <alignment horizontal="center" vertical="center"/>
    </xf>
    <xf numFmtId="4" fontId="62" fillId="0" borderId="4" xfId="0" applyNumberFormat="1" applyFont="1" applyFill="1" applyBorder="1" applyAlignment="1">
      <alignment vertical="center"/>
    </xf>
    <xf numFmtId="4" fontId="62" fillId="0" borderId="1" xfId="0" applyNumberFormat="1" applyFont="1" applyFill="1" applyBorder="1" applyAlignment="1">
      <alignment vertical="center"/>
    </xf>
    <xf numFmtId="166" fontId="15" fillId="0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43" fontId="63" fillId="0" borderId="1" xfId="6" applyFont="1" applyFill="1" applyBorder="1" applyAlignment="1">
      <alignment horizontal="center" vertical="center"/>
    </xf>
    <xf numFmtId="4" fontId="63" fillId="0" borderId="2" xfId="0" applyNumberFormat="1" applyFont="1" applyFill="1" applyBorder="1" applyAlignment="1">
      <alignment vertical="center"/>
    </xf>
    <xf numFmtId="4" fontId="63" fillId="0" borderId="1" xfId="0" applyNumberFormat="1" applyFont="1" applyFill="1" applyBorder="1" applyAlignment="1">
      <alignment vertical="center" wrapText="1"/>
    </xf>
    <xf numFmtId="9" fontId="63" fillId="0" borderId="1" xfId="0" applyNumberFormat="1" applyFont="1" applyFill="1" applyBorder="1" applyAlignment="1">
      <alignment horizontal="center" vertical="center"/>
    </xf>
    <xf numFmtId="4" fontId="63" fillId="0" borderId="1" xfId="0" applyNumberFormat="1" applyFont="1" applyFill="1" applyBorder="1" applyAlignment="1">
      <alignment vertical="center"/>
    </xf>
    <xf numFmtId="0" fontId="50" fillId="0" borderId="30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45" fillId="0" borderId="38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45" fillId="0" borderId="54" xfId="0" applyFont="1" applyFill="1" applyBorder="1" applyAlignment="1">
      <alignment horizontal="center" vertical="center" wrapText="1"/>
    </xf>
    <xf numFmtId="0" fontId="38" fillId="0" borderId="30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left" vertical="center"/>
    </xf>
    <xf numFmtId="9" fontId="18" fillId="0" borderId="0" xfId="2" applyFont="1" applyFill="1" applyAlignment="1">
      <alignment horizontal="left" vertical="center"/>
    </xf>
    <xf numFmtId="4" fontId="18" fillId="0" borderId="0" xfId="0" applyNumberFormat="1" applyFont="1" applyFill="1" applyAlignment="1">
      <alignment horizontal="left" vertical="center"/>
    </xf>
    <xf numFmtId="0" fontId="38" fillId="0" borderId="1" xfId="0" applyNumberFormat="1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28" fillId="0" borderId="1" xfId="0" applyFont="1" applyFill="1" applyBorder="1" applyAlignment="1">
      <alignment horizontal="center" vertical="center"/>
    </xf>
    <xf numFmtId="0" fontId="4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7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wrapText="1"/>
    </xf>
    <xf numFmtId="0" fontId="4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4" fontId="37" fillId="0" borderId="1" xfId="0" applyNumberFormat="1" applyFont="1" applyFill="1" applyBorder="1" applyAlignment="1">
      <alignment horizontal="center" vertical="center"/>
    </xf>
    <xf numFmtId="4" fontId="37" fillId="0" borderId="2" xfId="0" applyNumberFormat="1" applyFont="1" applyFill="1" applyBorder="1" applyAlignment="1">
      <alignment horizontal="center" vertical="center"/>
    </xf>
    <xf numFmtId="4" fontId="3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38" fillId="0" borderId="4" xfId="0" applyNumberFormat="1" applyFont="1" applyFill="1" applyBorder="1" applyAlignment="1">
      <alignment horizontal="center" vertical="center"/>
    </xf>
    <xf numFmtId="9" fontId="39" fillId="0" borderId="4" xfId="0" applyNumberFormat="1" applyFont="1" applyFill="1" applyBorder="1" applyAlignment="1">
      <alignment horizontal="center" vertical="center"/>
    </xf>
    <xf numFmtId="0" fontId="40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left" vertical="center" wrapText="1"/>
    </xf>
    <xf numFmtId="9" fontId="37" fillId="0" borderId="4" xfId="0" applyNumberFormat="1" applyFont="1" applyFill="1" applyBorder="1" applyAlignment="1">
      <alignment horizontal="center" vertical="center"/>
    </xf>
    <xf numFmtId="0" fontId="40" fillId="0" borderId="4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0" fontId="25" fillId="0" borderId="4" xfId="0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left" vertical="center" wrapText="1"/>
    </xf>
    <xf numFmtId="0" fontId="37" fillId="0" borderId="9" xfId="0" applyFont="1" applyFill="1" applyBorder="1" applyAlignment="1">
      <alignment horizontal="left" vertical="center" wrapText="1"/>
    </xf>
    <xf numFmtId="0" fontId="37" fillId="0" borderId="3" xfId="0" applyFont="1" applyFill="1" applyBorder="1" applyAlignment="1">
      <alignment horizontal="left" vertical="center" wrapText="1"/>
    </xf>
    <xf numFmtId="166" fontId="37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9" fontId="42" fillId="0" borderId="1" xfId="0" applyNumberFormat="1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166" fontId="39" fillId="0" borderId="1" xfId="0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9" fontId="41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/>
    </xf>
    <xf numFmtId="43" fontId="56" fillId="0" borderId="1" xfId="6" applyFont="1" applyFill="1" applyBorder="1" applyAlignment="1">
      <alignment horizontal="center" vertical="center"/>
    </xf>
    <xf numFmtId="0" fontId="49" fillId="0" borderId="0" xfId="0" applyFont="1" applyFill="1" applyAlignment="1">
      <alignment horizontal="left" vertical="center"/>
    </xf>
    <xf numFmtId="9" fontId="49" fillId="0" borderId="0" xfId="2" applyFont="1" applyFill="1" applyAlignment="1">
      <alignment horizontal="left" vertical="center"/>
    </xf>
    <xf numFmtId="4" fontId="49" fillId="0" borderId="0" xfId="0" applyNumberFormat="1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vertical="center" wrapText="1"/>
    </xf>
    <xf numFmtId="0" fontId="52" fillId="0" borderId="2" xfId="0" applyFont="1" applyFill="1" applyBorder="1" applyAlignment="1">
      <alignment horizontal="center" vertical="center" wrapText="1"/>
    </xf>
    <xf numFmtId="0" fontId="52" fillId="0" borderId="9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51" fillId="0" borderId="6" xfId="0" applyFont="1" applyFill="1" applyBorder="1" applyAlignment="1">
      <alignment vertical="center"/>
    </xf>
    <xf numFmtId="0" fontId="58" fillId="0" borderId="6" xfId="0" applyFont="1" applyFill="1" applyBorder="1" applyAlignment="1">
      <alignment vertical="center"/>
    </xf>
    <xf numFmtId="4" fontId="57" fillId="0" borderId="0" xfId="0" applyNumberFormat="1" applyFont="1" applyFill="1" applyAlignment="1">
      <alignment vertical="center"/>
    </xf>
    <xf numFmtId="0" fontId="49" fillId="0" borderId="0" xfId="0" applyFont="1" applyFill="1" applyAlignment="1">
      <alignment vertical="center" shrinkToFit="1"/>
    </xf>
    <xf numFmtId="0" fontId="49" fillId="0" borderId="0" xfId="0" applyFont="1" applyFill="1" applyAlignment="1">
      <alignment vertical="center"/>
    </xf>
    <xf numFmtId="0" fontId="58" fillId="0" borderId="0" xfId="0" applyFont="1" applyFill="1" applyAlignment="1">
      <alignment vertical="center"/>
    </xf>
    <xf numFmtId="0" fontId="60" fillId="0" borderId="0" xfId="0" applyFont="1" applyFill="1" applyAlignment="1">
      <alignment vertical="center"/>
    </xf>
    <xf numFmtId="0" fontId="10" fillId="0" borderId="0" xfId="0" applyFont="1" applyBorder="1" applyAlignment="1">
      <alignment horizontal="center" vertical="center"/>
    </xf>
    <xf numFmtId="165" fontId="13" fillId="0" borderId="0" xfId="0" applyNumberFormat="1" applyFont="1" applyFill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</cellXfs>
  <cellStyles count="8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Procentowy" xfId="5" builtinId="5"/>
    <cellStyle name="Procentowy 2" xfId="2"/>
  </cellStyles>
  <dxfs count="7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8">
    <pageSetUpPr fitToPage="1"/>
  </sheetPr>
  <dimension ref="A1:X49"/>
  <sheetViews>
    <sheetView tabSelected="1" view="pageBreakPreview" zoomScale="85" zoomScaleNormal="100" zoomScaleSheetLayoutView="85" workbookViewId="0">
      <selection activeCell="D5" sqref="D5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873</v>
      </c>
      <c r="B1" s="357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416" t="s">
        <v>878</v>
      </c>
      <c r="G2" s="417"/>
      <c r="H2" s="417"/>
      <c r="I2" s="417"/>
      <c r="J2" s="417"/>
      <c r="K2" s="417"/>
      <c r="L2" s="417"/>
      <c r="M2" s="417"/>
      <c r="N2" s="418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419"/>
      <c r="G3" s="420"/>
      <c r="H3" s="420"/>
      <c r="I3" s="420"/>
      <c r="J3" s="420"/>
      <c r="K3" s="420"/>
      <c r="L3" s="420"/>
      <c r="M3" s="420"/>
      <c r="N3" s="421"/>
      <c r="X3" s="9"/>
    </row>
    <row r="4" spans="1:24">
      <c r="A4" s="12" t="s">
        <v>833</v>
      </c>
      <c r="B4" s="358"/>
      <c r="C4" s="13"/>
      <c r="D4" s="13"/>
      <c r="E4" s="13"/>
      <c r="F4" s="419"/>
      <c r="G4" s="420"/>
      <c r="H4" s="420"/>
      <c r="I4" s="420"/>
      <c r="J4" s="420"/>
      <c r="K4" s="420"/>
      <c r="L4" s="420"/>
      <c r="M4" s="420"/>
      <c r="N4" s="421"/>
      <c r="X4" s="14"/>
    </row>
    <row r="5" spans="1:24">
      <c r="A5" s="13"/>
      <c r="B5" s="358"/>
      <c r="C5" s="13"/>
      <c r="D5" s="13"/>
      <c r="E5" s="13"/>
      <c r="F5" s="419"/>
      <c r="G5" s="420"/>
      <c r="H5" s="420"/>
      <c r="I5" s="420"/>
      <c r="J5" s="420"/>
      <c r="K5" s="420"/>
      <c r="L5" s="420"/>
      <c r="M5" s="420"/>
      <c r="N5" s="421"/>
      <c r="X5" s="9"/>
    </row>
    <row r="6" spans="1:24" ht="15.75" thickBot="1">
      <c r="A6" s="12" t="s">
        <v>829</v>
      </c>
      <c r="B6" s="358"/>
      <c r="C6" s="13"/>
      <c r="D6" s="13"/>
      <c r="E6" s="13"/>
      <c r="F6" s="566"/>
      <c r="G6" s="567"/>
      <c r="H6" s="567"/>
      <c r="I6" s="567"/>
      <c r="J6" s="567"/>
      <c r="K6" s="567"/>
      <c r="L6" s="567"/>
      <c r="M6" s="567"/>
      <c r="N6" s="568"/>
      <c r="X6" s="14"/>
    </row>
    <row r="7" spans="1:24">
      <c r="A7" s="13"/>
      <c r="B7" s="358"/>
      <c r="C7" s="13"/>
      <c r="D7" s="13"/>
      <c r="E7" s="13"/>
      <c r="F7" s="564"/>
      <c r="G7" s="564"/>
      <c r="H7" s="564"/>
      <c r="I7" s="564"/>
      <c r="J7" s="564"/>
      <c r="K7" s="564"/>
      <c r="L7" s="564"/>
      <c r="M7" s="564"/>
      <c r="N7" s="564"/>
      <c r="X7" s="9"/>
    </row>
    <row r="8" spans="1:24">
      <c r="A8" s="13"/>
      <c r="B8" s="358"/>
      <c r="C8" s="13"/>
      <c r="D8" s="13"/>
      <c r="E8" s="13"/>
      <c r="F8" s="565"/>
      <c r="G8" s="565"/>
      <c r="H8" s="565"/>
      <c r="I8" s="565"/>
      <c r="J8" s="15"/>
      <c r="K8" s="396"/>
      <c r="L8" s="15"/>
      <c r="M8" s="15"/>
      <c r="N8" s="15"/>
      <c r="X8" s="9"/>
    </row>
    <row r="9" spans="1:24">
      <c r="A9" s="13"/>
      <c r="B9" s="358"/>
      <c r="C9" s="13"/>
      <c r="D9" s="13"/>
      <c r="E9" s="13"/>
      <c r="F9" s="565"/>
      <c r="G9" s="565"/>
      <c r="H9" s="565"/>
      <c r="I9" s="565"/>
      <c r="J9" s="15"/>
      <c r="K9" s="396"/>
      <c r="L9" s="15"/>
      <c r="M9" s="15"/>
      <c r="N9" s="15"/>
      <c r="X9" s="9"/>
    </row>
    <row r="10" spans="1:24">
      <c r="A10" s="13"/>
      <c r="B10" s="358"/>
      <c r="C10" s="13"/>
      <c r="D10" s="13"/>
      <c r="E10" s="13"/>
      <c r="F10" s="565"/>
      <c r="G10" s="565"/>
      <c r="H10" s="565"/>
      <c r="I10" s="565"/>
      <c r="J10" s="15"/>
      <c r="K10" s="15"/>
      <c r="L10" s="15"/>
      <c r="M10" s="15"/>
      <c r="N10" s="15"/>
      <c r="X10" s="9"/>
    </row>
    <row r="11" spans="1:24" ht="20.100000000000001" customHeight="1" thickBot="1">
      <c r="A11" s="12"/>
      <c r="B11" s="358"/>
      <c r="C11" s="13"/>
      <c r="D11" s="3"/>
      <c r="E11" s="13"/>
      <c r="F11" s="385"/>
      <c r="G11" s="385"/>
      <c r="H11" s="385"/>
      <c r="I11" s="385"/>
      <c r="J11" s="15"/>
      <c r="K11" s="15"/>
      <c r="L11" s="15"/>
      <c r="M11" s="15"/>
      <c r="N11" s="15"/>
      <c r="X11" s="9"/>
    </row>
    <row r="12" spans="1:24" ht="20.100000000000001" customHeight="1">
      <c r="A12" s="422" t="s">
        <v>0</v>
      </c>
      <c r="B12" s="424" t="s">
        <v>31</v>
      </c>
      <c r="C12" s="426" t="s">
        <v>17</v>
      </c>
      <c r="D12" s="428" t="s">
        <v>18</v>
      </c>
      <c r="E12" s="430" t="s">
        <v>19</v>
      </c>
      <c r="F12" s="432" t="s">
        <v>11</v>
      </c>
      <c r="G12" s="433"/>
      <c r="H12" s="433"/>
      <c r="I12" s="433"/>
      <c r="J12" s="433"/>
      <c r="K12" s="433"/>
      <c r="L12" s="433"/>
      <c r="M12" s="433"/>
      <c r="N12" s="433"/>
      <c r="O12" s="434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423"/>
      <c r="B13" s="425"/>
      <c r="C13" s="427"/>
      <c r="D13" s="429"/>
      <c r="E13" s="431"/>
      <c r="F13" s="58">
        <v>2019</v>
      </c>
      <c r="G13" s="59">
        <v>2020</v>
      </c>
      <c r="H13" s="59">
        <v>2021</v>
      </c>
      <c r="I13" s="59">
        <v>2022</v>
      </c>
      <c r="J13" s="59">
        <v>2023</v>
      </c>
      <c r="K13" s="59">
        <v>2024</v>
      </c>
      <c r="L13" s="59">
        <v>2025</v>
      </c>
      <c r="M13" s="59">
        <v>2026</v>
      </c>
      <c r="N13" s="59">
        <v>2027</v>
      </c>
      <c r="O13" s="60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62" t="s">
        <v>34</v>
      </c>
      <c r="B14" s="359">
        <f>COUNTA('pow podst'!K3:K41)</f>
        <v>39</v>
      </c>
      <c r="C14" s="63">
        <f>SUM('pow podst'!J3:J41)</f>
        <v>329154707.00999999</v>
      </c>
      <c r="D14" s="64">
        <f>SUM('pow podst'!L3:L41)</f>
        <v>167914779.93999994</v>
      </c>
      <c r="E14" s="65">
        <f>SUM('pow podst'!K3:K41)</f>
        <v>161239927.06999999</v>
      </c>
      <c r="F14" s="66">
        <f>SUM('pow podst'!N3:N41)</f>
        <v>22374806.900000002</v>
      </c>
      <c r="G14" s="63">
        <f>SUM('pow podst'!O3:O41)</f>
        <v>91891130.770000011</v>
      </c>
      <c r="H14" s="63">
        <f>SUM('pow podst'!P3:P41)</f>
        <v>36471592.93999999</v>
      </c>
      <c r="I14" s="63">
        <f>SUM('pow podst'!Q3:Q41)</f>
        <v>10502396.460000001</v>
      </c>
      <c r="J14" s="63">
        <f>SUM('pow podst'!R3:R41)</f>
        <v>0</v>
      </c>
      <c r="K14" s="63">
        <f>SUM('pow podst'!S3:S41)</f>
        <v>0</v>
      </c>
      <c r="L14" s="63">
        <f>SUM('pow podst'!T3:T41)</f>
        <v>0</v>
      </c>
      <c r="M14" s="63">
        <f>SUM('pow podst'!U3:U41)</f>
        <v>0</v>
      </c>
      <c r="N14" s="63">
        <f>SUM('pow podst'!V3:V41)</f>
        <v>0</v>
      </c>
      <c r="O14" s="67">
        <f>SUM('pow podst'!W3:W41)</f>
        <v>0</v>
      </c>
      <c r="P14" s="17" t="b">
        <f>C14=(D14+E14)</f>
        <v>1</v>
      </c>
      <c r="Q14" s="35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8" t="s">
        <v>35</v>
      </c>
      <c r="B15" s="360">
        <f>COUNTIF('pow podst'!C3:C41,"K")</f>
        <v>15</v>
      </c>
      <c r="C15" s="102">
        <f>SUMIF('pow podst'!C3:C41,"K",'pow podst'!J3:J41)</f>
        <v>172260768.49000001</v>
      </c>
      <c r="D15" s="103">
        <f>SUMIF('pow podst'!C3:C41,"K",'pow podst'!L3:L41)</f>
        <v>91118075.149999991</v>
      </c>
      <c r="E15" s="41">
        <f>SUMIF('pow podst'!C3:C41,"K",'pow podst'!K3:K41)</f>
        <v>81142693.339999989</v>
      </c>
      <c r="F15" s="108">
        <f>SUMIF('pow podst'!$C$3:$C$41,"K",'pow podst'!N3:N41)</f>
        <v>22374806.900000002</v>
      </c>
      <c r="G15" s="102">
        <f>SUMIF('pow podst'!$C$3:$C$41,"K",'pow podst'!O3:O41)</f>
        <v>34082645.079999998</v>
      </c>
      <c r="H15" s="102">
        <f>SUMIF('pow podst'!$C$3:$C$41,"K",'pow podst'!P3:P41)</f>
        <v>16682844.9</v>
      </c>
      <c r="I15" s="102">
        <f>SUMIF('pow podst'!$C$3:$C$41,"K",'pow podst'!Q3:Q41)</f>
        <v>8002396.46</v>
      </c>
      <c r="J15" s="102">
        <f>SUMIF('pow podst'!$C$3:$C$41,"K",'pow podst'!R3:R41)</f>
        <v>0</v>
      </c>
      <c r="K15" s="102">
        <f>SUMIF('pow podst'!$C$3:$C$41,"K",'pow podst'!S3:S41)</f>
        <v>0</v>
      </c>
      <c r="L15" s="102">
        <f>SUMIF('pow podst'!$C$3:$C$41,"K",'pow podst'!T3:T41)</f>
        <v>0</v>
      </c>
      <c r="M15" s="102">
        <f>SUMIF('pow podst'!$C$3:$C$41,"K",'pow podst'!U3:U41)</f>
        <v>0</v>
      </c>
      <c r="N15" s="102">
        <f>SUMIF('pow podst'!$C$3:$C$41,"K",'pow podst'!V3:V41)</f>
        <v>0</v>
      </c>
      <c r="O15" s="109">
        <f>SUMIF('pow podst'!$C$3:$C$41,"K",'pow podst'!W3:W41)</f>
        <v>0</v>
      </c>
      <c r="P15" s="17" t="b">
        <f t="shared" ref="P15:P24" si="0">C15=(D15+E15)</f>
        <v>1</v>
      </c>
      <c r="Q15" s="35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9" t="s">
        <v>36</v>
      </c>
      <c r="B16" s="361">
        <f>COUNTIF('pow podst'!C3:C41,"N")</f>
        <v>16</v>
      </c>
      <c r="C16" s="104">
        <f>SUMIF('pow podst'!C3:C41,"N",'pow podst'!J3:J41)</f>
        <v>69572166</v>
      </c>
      <c r="D16" s="105">
        <f>SUMIF('pow podst'!C3:C41,"N",'pow podst'!L3:L41)</f>
        <v>30458674.809999984</v>
      </c>
      <c r="E16" s="40">
        <f>SUMIF('pow podst'!C3:C41,"N",'pow podst'!K3:K41)</f>
        <v>39113491.190000013</v>
      </c>
      <c r="F16" s="110">
        <f>SUMIF('pow podst'!$C$3:$C$41,"N",'pow podst'!N3:N41)</f>
        <v>0</v>
      </c>
      <c r="G16" s="104">
        <f>SUMIF('pow podst'!$C$3:$C$41,"N",'pow podst'!O3:O41)</f>
        <v>39113491.190000013</v>
      </c>
      <c r="H16" s="104">
        <f>SUMIF('pow podst'!$C$3:$C$41,"N",'pow podst'!P3:P41)</f>
        <v>0</v>
      </c>
      <c r="I16" s="104">
        <f>SUMIF('pow podst'!$C$3:$C$41,"N",'pow podst'!Q3:Q41)</f>
        <v>0</v>
      </c>
      <c r="J16" s="104">
        <f>SUMIF('pow podst'!$C$3:$C$41,"N",'pow podst'!R3:R41)</f>
        <v>0</v>
      </c>
      <c r="K16" s="104">
        <f>SUMIF('pow podst'!$C$3:$C$41,"N",'pow podst'!S3:S41)</f>
        <v>0</v>
      </c>
      <c r="L16" s="104">
        <f>SUMIF('pow podst'!$C$3:$C$41,"N",'pow podst'!T3:T41)</f>
        <v>0</v>
      </c>
      <c r="M16" s="104">
        <f>SUMIF('pow podst'!$C$3:$C$41,"N",'pow podst'!U3:U41)</f>
        <v>0</v>
      </c>
      <c r="N16" s="104">
        <f>SUMIF('pow podst'!$C$3:$C$41,"N",'pow podst'!V3:V41)</f>
        <v>0</v>
      </c>
      <c r="O16" s="111">
        <f>SUMIF('pow podst'!$C$3:$C$41,"N",'pow podst'!W3:W41)</f>
        <v>0</v>
      </c>
      <c r="P16" s="17" t="b">
        <f t="shared" si="0"/>
        <v>1</v>
      </c>
      <c r="Q16" s="35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70" t="s">
        <v>37</v>
      </c>
      <c r="B17" s="362">
        <f>COUNTIF('pow podst'!C3:C41,"W")</f>
        <v>8</v>
      </c>
      <c r="C17" s="106">
        <f>SUMIF('pow podst'!C18:C41,"W",'pow podst'!J18:J41)</f>
        <v>87321772.519999996</v>
      </c>
      <c r="D17" s="107">
        <f>SUMIF('pow podst'!C18:C41,"W",'pow podst'!L18:L41)</f>
        <v>46338029.980000004</v>
      </c>
      <c r="E17" s="71">
        <f>SUMIF('pow podst'!C18:C41,"W",'pow podst'!K18:K41)</f>
        <v>40983742.539999992</v>
      </c>
      <c r="F17" s="112">
        <f>SUMIF('pow podst'!$C$3:$C$41,"W",'pow podst'!N3:N41)</f>
        <v>0</v>
      </c>
      <c r="G17" s="106">
        <f>SUMIF('pow podst'!$C$3:$C$41,"W",'pow podst'!O3:O41)</f>
        <v>18694994.5</v>
      </c>
      <c r="H17" s="106">
        <f>SUMIF('pow podst'!$C$3:$C$41,"W",'pow podst'!P3:P41)</f>
        <v>19788748.039999992</v>
      </c>
      <c r="I17" s="106">
        <f>SUMIF('pow podst'!$C$3:$C$41,"W",'pow podst'!Q3:Q41)</f>
        <v>2500000</v>
      </c>
      <c r="J17" s="106">
        <f>SUMIF('pow podst'!$C$3:$C$41,"W",'pow podst'!R3:R41)</f>
        <v>0</v>
      </c>
      <c r="K17" s="106">
        <f>SUMIF('pow podst'!$C$3:$C$41,"W",'pow podst'!S3:S41)</f>
        <v>0</v>
      </c>
      <c r="L17" s="106">
        <f>SUMIF('pow podst'!$C$3:$C$41,"W",'pow podst'!T3:T41)</f>
        <v>0</v>
      </c>
      <c r="M17" s="106">
        <f>SUMIF('pow podst'!$C$3:$C$41,"W",'pow podst'!U3:U41)</f>
        <v>0</v>
      </c>
      <c r="N17" s="106">
        <f>SUMIF('pow podst'!$C$3:$C$41,"W",'pow podst'!V3:V41)</f>
        <v>0</v>
      </c>
      <c r="O17" s="113">
        <f>SUMIF('pow podst'!$C$3:$C$41,"W",'pow podst'!W3:W41)</f>
        <v>0</v>
      </c>
      <c r="P17" s="17" t="b">
        <f t="shared" si="0"/>
        <v>1</v>
      </c>
      <c r="Q17" s="35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62" t="s">
        <v>38</v>
      </c>
      <c r="B18" s="359">
        <f>COUNTA('gm podst'!L3:L74)</f>
        <v>70</v>
      </c>
      <c r="C18" s="63">
        <f>SUM('gm podst'!K3:K74)</f>
        <v>174116487.75999999</v>
      </c>
      <c r="D18" s="64">
        <f>SUM('gm podst'!M3:M74)</f>
        <v>74820974.150000006</v>
      </c>
      <c r="E18" s="65">
        <f>SUM('gm podst'!L3:L74)</f>
        <v>99295513.609999999</v>
      </c>
      <c r="F18" s="114">
        <f>SUM('gm podst'!O3:O74)</f>
        <v>6092613.1999999993</v>
      </c>
      <c r="G18" s="115">
        <f>SUM('gm podst'!P3:P74)</f>
        <v>68898122.400000006</v>
      </c>
      <c r="H18" s="115">
        <f>SUM('gm podst'!Q3:Q74)</f>
        <v>20859273</v>
      </c>
      <c r="I18" s="115">
        <f>SUM('gm podst'!R3:R74)</f>
        <v>3445505.0100000002</v>
      </c>
      <c r="J18" s="115">
        <f>SUM('gm podst'!S3:S74)</f>
        <v>0</v>
      </c>
      <c r="K18" s="115">
        <f>SUM('gm podst'!T3:T74)</f>
        <v>0</v>
      </c>
      <c r="L18" s="115">
        <f>SUM('gm podst'!U3:U74)</f>
        <v>0</v>
      </c>
      <c r="M18" s="115">
        <f>SUM('gm podst'!V3:V74)</f>
        <v>0</v>
      </c>
      <c r="N18" s="115">
        <f>SUM('gm podst'!W3:W74)</f>
        <v>0</v>
      </c>
      <c r="O18" s="116">
        <f>SUM('gm podst'!X3:X74)</f>
        <v>0</v>
      </c>
      <c r="P18" s="17" t="b">
        <f t="shared" si="0"/>
        <v>1</v>
      </c>
      <c r="Q18" s="35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8" t="s">
        <v>35</v>
      </c>
      <c r="B19" s="360">
        <f>COUNTIF('gm podst'!C3:C74,"K")</f>
        <v>17</v>
      </c>
      <c r="C19" s="102">
        <f>SUMIF('gm podst'!C3:C74,"K",'gm podst'!K3:K74)</f>
        <v>57499015.699999996</v>
      </c>
      <c r="D19" s="103">
        <f>SUMIF('gm podst'!C3:C74,"K",'gm podst'!M3:M74)</f>
        <v>24164109.34</v>
      </c>
      <c r="E19" s="41">
        <f>SUMIF('gm podst'!C3:C74,"K",'gm podst'!L3:L74)</f>
        <v>33334906.359999999</v>
      </c>
      <c r="F19" s="108">
        <f>SUMIF('gm podst'!$C$3:$C$74,"K",'gm podst'!O3:O74)</f>
        <v>6092613.1999999993</v>
      </c>
      <c r="G19" s="102">
        <f>SUMIF('gm podst'!$C$3:$C$74,"K",'gm podst'!P3:P74)</f>
        <v>13695614.299999999</v>
      </c>
      <c r="H19" s="102">
        <f>SUMIF('gm podst'!$C$3:$C$74,"K",'gm podst'!Q3:Q74)</f>
        <v>11169440.700000001</v>
      </c>
      <c r="I19" s="102">
        <f>SUMIF('gm podst'!$C$3:$C$74,"K",'gm podst'!R3:R74)</f>
        <v>2377238.16</v>
      </c>
      <c r="J19" s="102">
        <f>SUMIF('gm podst'!$C$3:$C$74,"K",'gm podst'!S3:S74)</f>
        <v>0</v>
      </c>
      <c r="K19" s="102">
        <f>SUMIF('gm podst'!$C$3:$C$74,"K",'gm podst'!T3:T74)</f>
        <v>0</v>
      </c>
      <c r="L19" s="102">
        <f>SUMIF('gm podst'!$C$3:$C$74,"K",'gm podst'!U3:U74)</f>
        <v>0</v>
      </c>
      <c r="M19" s="102">
        <f>SUMIF('gm podst'!$C$3:$C$74,"K",'gm podst'!V3:V74)</f>
        <v>0</v>
      </c>
      <c r="N19" s="102">
        <f>SUMIF('gm podst'!$C$3:$C$74,"K",'gm podst'!W3:W74)</f>
        <v>0</v>
      </c>
      <c r="O19" s="109">
        <f>SUMIF('gm podst'!$C$3:$C$74,"K",'gm podst'!X3:X74)</f>
        <v>0</v>
      </c>
      <c r="P19" s="17" t="b">
        <f t="shared" si="0"/>
        <v>1</v>
      </c>
      <c r="Q19" s="35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9" t="s">
        <v>36</v>
      </c>
      <c r="B20" s="361">
        <f>COUNTIF('gm podst'!C3:C74,"N")</f>
        <v>44</v>
      </c>
      <c r="C20" s="104">
        <f>SUMIF('gm podst'!C3:C74,"N",'gm podst'!K3:K74)</f>
        <v>78545234.310000002</v>
      </c>
      <c r="D20" s="105">
        <f>SUMIF('gm podst'!C3:C74,"N",'gm podst'!M3:M74)</f>
        <v>32089459.780000001</v>
      </c>
      <c r="E20" s="40">
        <f>SUMIF('gm podst'!C3:C74,"N",'gm podst'!L3:L74)</f>
        <v>46455774.530000001</v>
      </c>
      <c r="F20" s="110">
        <f>SUMIF('gm podst'!$C$3:$C$74,"N",'gm podst'!O3:O74)</f>
        <v>0</v>
      </c>
      <c r="G20" s="104">
        <f>SUMIF('gm podst'!$C$3:$C$74,"N",'gm podst'!P3:P74)</f>
        <v>46455774.530000001</v>
      </c>
      <c r="H20" s="104">
        <f>SUMIF('gm podst'!$C$3:$C$74,"N",'gm podst'!Q3:Q74)</f>
        <v>0</v>
      </c>
      <c r="I20" s="104">
        <f>SUMIF('gm podst'!$C$3:$C$74,"N",'gm podst'!R3:R74)</f>
        <v>0</v>
      </c>
      <c r="J20" s="104">
        <f>SUMIF('gm podst'!$C$3:$C$74,"N",'gm podst'!S3:S74)</f>
        <v>0</v>
      </c>
      <c r="K20" s="104">
        <f>SUMIF('gm podst'!$C$3:$C$74,"N",'gm podst'!T3:T74)</f>
        <v>0</v>
      </c>
      <c r="L20" s="104">
        <f>SUMIF('gm podst'!$C$3:$C$74,"N",'gm podst'!U3:U74)</f>
        <v>0</v>
      </c>
      <c r="M20" s="104">
        <f>SUMIF('gm podst'!$C$3:$C$74,"N",'gm podst'!V3:V74)</f>
        <v>0</v>
      </c>
      <c r="N20" s="104">
        <f>SUMIF('gm podst'!$C$3:$C$74,"N",'gm podst'!W3:W74)</f>
        <v>0</v>
      </c>
      <c r="O20" s="111">
        <f>SUMIF('gm podst'!$C$3:$C$74,"N",'gm podst'!X3:X74)</f>
        <v>0</v>
      </c>
      <c r="P20" s="17" t="b">
        <f t="shared" si="0"/>
        <v>1</v>
      </c>
      <c r="Q20" s="35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70" t="s">
        <v>37</v>
      </c>
      <c r="B21" s="362">
        <f>COUNTIF('gm podst'!C3:C74,"W")</f>
        <v>9</v>
      </c>
      <c r="C21" s="106">
        <f>SUMIF('gm podst'!C3:C74,"W",'gm podst'!K3:K74)</f>
        <v>38072237.75</v>
      </c>
      <c r="D21" s="107">
        <f>SUMIF('gm podst'!C3:C74,"W",'gm podst'!M3:M74)</f>
        <v>18567405.030000001</v>
      </c>
      <c r="E21" s="71">
        <f>SUMIF('gm podst'!C3:C74,"W",'gm podst'!L3:L74)</f>
        <v>19504832.719999999</v>
      </c>
      <c r="F21" s="112">
        <f>SUMIF('gm podst'!$C$3:$C$74,"W",'gm podst'!O3:O74)</f>
        <v>0</v>
      </c>
      <c r="G21" s="106">
        <f>SUMIF('gm podst'!$C$3:$C$74,"W",'gm podst'!P3:P74)</f>
        <v>8746733.5700000003</v>
      </c>
      <c r="H21" s="106">
        <f>SUMIF('gm podst'!$C$3:$C$74,"W",'gm podst'!Q3:Q74)</f>
        <v>9689832.3000000007</v>
      </c>
      <c r="I21" s="106">
        <f>SUMIF('gm podst'!$C$3:$C$74,"W",'gm podst'!R3:R74)</f>
        <v>1068266.8500000001</v>
      </c>
      <c r="J21" s="106">
        <f>SUMIF('gm podst'!$C$3:$C$74,"W",'gm podst'!S3:S74)</f>
        <v>0</v>
      </c>
      <c r="K21" s="106">
        <f>SUMIF('gm podst'!$C$3:$C$74,"W",'gm podst'!T3:T74)</f>
        <v>0</v>
      </c>
      <c r="L21" s="106">
        <f>SUMIF('gm podst'!$C$3:$C$74,"W",'gm podst'!U3:U74)</f>
        <v>0</v>
      </c>
      <c r="M21" s="106">
        <f>SUMIF('gm podst'!$C$3:$C$74,"W",'gm podst'!V3:V74)</f>
        <v>0</v>
      </c>
      <c r="N21" s="106">
        <f>SUMIF('gm podst'!$C$3:$C$74,"W",'gm podst'!W3:W74)</f>
        <v>0</v>
      </c>
      <c r="O21" s="113">
        <f>SUMIF('gm podst'!$C$3:$C$74,"W",'gm podst'!X3:X74)</f>
        <v>0</v>
      </c>
      <c r="P21" s="17" t="b">
        <f t="shared" si="0"/>
        <v>1</v>
      </c>
      <c r="Q21" s="35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72" t="s">
        <v>39</v>
      </c>
      <c r="B22" s="363">
        <f>B14+B18</f>
        <v>109</v>
      </c>
      <c r="C22" s="73">
        <f>C14+C18</f>
        <v>503271194.76999998</v>
      </c>
      <c r="D22" s="74">
        <f t="shared" ref="C22:O24" si="2">D14+D18</f>
        <v>242735754.08999994</v>
      </c>
      <c r="E22" s="75">
        <f t="shared" si="2"/>
        <v>260535440.68000001</v>
      </c>
      <c r="F22" s="76">
        <f t="shared" si="2"/>
        <v>28467420.100000001</v>
      </c>
      <c r="G22" s="73">
        <f>G14+G18</f>
        <v>160789253.17000002</v>
      </c>
      <c r="H22" s="73">
        <f t="shared" si="2"/>
        <v>57330865.93999999</v>
      </c>
      <c r="I22" s="73">
        <f t="shared" si="2"/>
        <v>13947901.470000001</v>
      </c>
      <c r="J22" s="73">
        <f t="shared" si="2"/>
        <v>0</v>
      </c>
      <c r="K22" s="73">
        <f t="shared" si="2"/>
        <v>0</v>
      </c>
      <c r="L22" s="73">
        <f t="shared" si="2"/>
        <v>0</v>
      </c>
      <c r="M22" s="73">
        <f t="shared" si="2"/>
        <v>0</v>
      </c>
      <c r="N22" s="73">
        <f t="shared" si="2"/>
        <v>0</v>
      </c>
      <c r="O22" s="77">
        <f t="shared" si="2"/>
        <v>0</v>
      </c>
      <c r="P22" s="17" t="b">
        <f t="shared" si="0"/>
        <v>1</v>
      </c>
      <c r="Q22" s="35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8" t="s">
        <v>35</v>
      </c>
      <c r="B23" s="364">
        <f>B15+B19</f>
        <v>32</v>
      </c>
      <c r="C23" s="49">
        <f t="shared" si="2"/>
        <v>229759784.19</v>
      </c>
      <c r="D23" s="52">
        <f t="shared" si="2"/>
        <v>115282184.48999999</v>
      </c>
      <c r="E23" s="41">
        <f t="shared" si="2"/>
        <v>114477599.69999999</v>
      </c>
      <c r="F23" s="55">
        <f t="shared" si="2"/>
        <v>28467420.100000001</v>
      </c>
      <c r="G23" s="49">
        <f t="shared" si="2"/>
        <v>47778259.379999995</v>
      </c>
      <c r="H23" s="49">
        <f t="shared" si="2"/>
        <v>27852285.600000001</v>
      </c>
      <c r="I23" s="49">
        <f t="shared" si="2"/>
        <v>10379634.620000001</v>
      </c>
      <c r="J23" s="49">
        <f t="shared" si="2"/>
        <v>0</v>
      </c>
      <c r="K23" s="49">
        <f t="shared" si="2"/>
        <v>0</v>
      </c>
      <c r="L23" s="49">
        <f t="shared" si="2"/>
        <v>0</v>
      </c>
      <c r="M23" s="49">
        <f t="shared" si="2"/>
        <v>0</v>
      </c>
      <c r="N23" s="49">
        <f t="shared" si="2"/>
        <v>0</v>
      </c>
      <c r="O23" s="79">
        <f t="shared" si="2"/>
        <v>0</v>
      </c>
      <c r="P23" s="17" t="b">
        <f t="shared" si="0"/>
        <v>1</v>
      </c>
      <c r="Q23" s="35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80" t="s">
        <v>36</v>
      </c>
      <c r="B24" s="365">
        <f>B16+B20</f>
        <v>60</v>
      </c>
      <c r="C24" s="51">
        <f t="shared" si="2"/>
        <v>148117400.31</v>
      </c>
      <c r="D24" s="53">
        <f t="shared" si="2"/>
        <v>62548134.589999989</v>
      </c>
      <c r="E24" s="40">
        <f t="shared" si="2"/>
        <v>85569265.720000014</v>
      </c>
      <c r="F24" s="56">
        <f t="shared" si="2"/>
        <v>0</v>
      </c>
      <c r="G24" s="51">
        <f t="shared" si="2"/>
        <v>85569265.720000014</v>
      </c>
      <c r="H24" s="51">
        <f t="shared" si="2"/>
        <v>0</v>
      </c>
      <c r="I24" s="51">
        <f t="shared" si="2"/>
        <v>0</v>
      </c>
      <c r="J24" s="51">
        <f t="shared" si="2"/>
        <v>0</v>
      </c>
      <c r="K24" s="51">
        <f t="shared" si="2"/>
        <v>0</v>
      </c>
      <c r="L24" s="51">
        <f t="shared" si="2"/>
        <v>0</v>
      </c>
      <c r="M24" s="51">
        <f t="shared" si="2"/>
        <v>0</v>
      </c>
      <c r="N24" s="51">
        <f t="shared" si="2"/>
        <v>0</v>
      </c>
      <c r="O24" s="81">
        <f t="shared" si="2"/>
        <v>0</v>
      </c>
      <c r="P24" s="17" t="b">
        <f t="shared" si="0"/>
        <v>1</v>
      </c>
      <c r="Q24" s="35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82" t="s">
        <v>37</v>
      </c>
      <c r="B25" s="366">
        <f>B17+B21</f>
        <v>17</v>
      </c>
      <c r="C25" s="83">
        <f t="shared" ref="C25:O25" si="4">C17+C21</f>
        <v>125394010.27</v>
      </c>
      <c r="D25" s="84">
        <f t="shared" si="4"/>
        <v>64905435.010000005</v>
      </c>
      <c r="E25" s="71">
        <f t="shared" si="4"/>
        <v>60488575.25999999</v>
      </c>
      <c r="F25" s="85">
        <f t="shared" si="4"/>
        <v>0</v>
      </c>
      <c r="G25" s="83">
        <f t="shared" si="4"/>
        <v>27441728.07</v>
      </c>
      <c r="H25" s="83">
        <f t="shared" si="4"/>
        <v>29478580.339999992</v>
      </c>
      <c r="I25" s="83">
        <f t="shared" si="4"/>
        <v>3568266.85</v>
      </c>
      <c r="J25" s="83">
        <f t="shared" si="4"/>
        <v>0</v>
      </c>
      <c r="K25" s="83">
        <f t="shared" si="4"/>
        <v>0</v>
      </c>
      <c r="L25" s="83">
        <f t="shared" si="4"/>
        <v>0</v>
      </c>
      <c r="M25" s="83">
        <f t="shared" si="4"/>
        <v>0</v>
      </c>
      <c r="N25" s="83">
        <f t="shared" si="4"/>
        <v>0</v>
      </c>
      <c r="O25" s="86">
        <f t="shared" si="4"/>
        <v>0</v>
      </c>
      <c r="P25" s="17" t="b">
        <f t="shared" ref="P25" si="5">C25=(D25+E25)</f>
        <v>1</v>
      </c>
      <c r="Q25" s="35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62" t="s">
        <v>1</v>
      </c>
      <c r="B26" s="359">
        <f>COUNTA('pow rez'!K3:K12)</f>
        <v>6</v>
      </c>
      <c r="C26" s="63">
        <f>SUM('pow rez'!J3:J12)</f>
        <v>51238739</v>
      </c>
      <c r="D26" s="64">
        <f>SUM('pow rez'!L3:L12)</f>
        <v>22240993.350000001</v>
      </c>
      <c r="E26" s="65">
        <f>SUM('pow rez'!K3:K12)</f>
        <v>28997745.649999999</v>
      </c>
      <c r="F26" s="66">
        <f>SUM('pow rez'!N3:N12)</f>
        <v>0</v>
      </c>
      <c r="G26" s="63">
        <f>SUM('pow rez'!O3:O12)</f>
        <v>18547568.549999997</v>
      </c>
      <c r="H26" s="63">
        <f>SUM('pow rez'!P3:P12)</f>
        <v>2750058.85</v>
      </c>
      <c r="I26" s="63">
        <f>SUM('pow rez'!Q3:Q12)</f>
        <v>2750058.85</v>
      </c>
      <c r="J26" s="63">
        <f>SUM('pow rez'!R3:R12)</f>
        <v>2750059.4</v>
      </c>
      <c r="K26" s="63">
        <f>SUM('pow rez'!S3:S12)</f>
        <v>2200000</v>
      </c>
      <c r="L26" s="63">
        <f>SUM('pow rez'!T3:T12)</f>
        <v>0</v>
      </c>
      <c r="M26" s="63">
        <f>SUM('pow rez'!U3:U12)</f>
        <v>0</v>
      </c>
      <c r="N26" s="63">
        <f>SUM('pow rez'!V3:V12)</f>
        <v>0</v>
      </c>
      <c r="O26" s="67">
        <f>SUM('pow rez'!W3:W12)</f>
        <v>0</v>
      </c>
      <c r="P26" s="17" t="b">
        <f t="shared" ref="P26:P38" si="7">C26=(D26+E26)</f>
        <v>1</v>
      </c>
      <c r="Q26" s="35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9" t="s">
        <v>36</v>
      </c>
      <c r="B27" s="361">
        <f>COUNTIF('pow rez'!C3:C12,"N")</f>
        <v>5</v>
      </c>
      <c r="C27" s="104">
        <f>SUMIF('pow rez'!C3:C12,"N",'pow rez'!J3:J12)</f>
        <v>30238310</v>
      </c>
      <c r="D27" s="105">
        <f>SUMIF('pow rez'!C3:C12,"N",'pow rez'!L3:L12)</f>
        <v>12790800.300000001</v>
      </c>
      <c r="E27" s="40">
        <f>SUMIF('pow rez'!C3:C12,"N",'pow rez'!K3:K12)</f>
        <v>17447509.699999999</v>
      </c>
      <c r="F27" s="110">
        <f>SUMIF('pow rez'!$C$3:$C$12,"N",'pow rez'!N3:N12)</f>
        <v>0</v>
      </c>
      <c r="G27" s="104">
        <f>SUMIF('pow rez'!$C$3:$C$12,"N",'pow rez'!O3:O12)</f>
        <v>17447509.699999999</v>
      </c>
      <c r="H27" s="104">
        <f>SUMIF('pow rez'!$C$3:$C$12,"N",'pow rez'!P3:P12)</f>
        <v>0</v>
      </c>
      <c r="I27" s="104">
        <f>SUMIF('pow rez'!$C$3:$C$12,"N",'pow rez'!Q3:Q12)</f>
        <v>0</v>
      </c>
      <c r="J27" s="104">
        <f>SUMIF('pow rez'!$C$3:$C$12,"N",'pow rez'!R3:R12)</f>
        <v>0</v>
      </c>
      <c r="K27" s="104">
        <f>SUMIF('pow rez'!$C$3:$C$12,"N",'pow rez'!S3:S12)</f>
        <v>0</v>
      </c>
      <c r="L27" s="104">
        <f>SUMIF('pow rez'!$C$3:$C$12,"N",'pow rez'!T3:T12)</f>
        <v>0</v>
      </c>
      <c r="M27" s="104">
        <f>SUMIF('pow rez'!$C$3:$C$12,"N",'pow rez'!U3:U12)</f>
        <v>0</v>
      </c>
      <c r="N27" s="104">
        <f>SUMIF('pow rez'!$C$3:$C$12,"N",'pow rez'!V3:V12)</f>
        <v>0</v>
      </c>
      <c r="O27" s="111">
        <f>SUMIF('pow rez'!$C$3:$C$12,"N",'pow rez'!W3:W12)</f>
        <v>0</v>
      </c>
      <c r="P27" s="17" t="b">
        <f t="shared" si="7"/>
        <v>1</v>
      </c>
      <c r="Q27" s="35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70" t="s">
        <v>37</v>
      </c>
      <c r="B28" s="362">
        <f>COUNTIF('pow rez'!C3:C12,"W")</f>
        <v>1</v>
      </c>
      <c r="C28" s="106">
        <f>SUMIF('pow rez'!C3:C12,"W",'pow rez'!J3:J12)</f>
        <v>21000429</v>
      </c>
      <c r="D28" s="107">
        <f>SUMIF('pow rez'!C3:C12,"W",'pow rez'!L3:L12)</f>
        <v>9450193.0500000007</v>
      </c>
      <c r="E28" s="71">
        <f>SUMIF('pow rez'!C3:C12,"W",'pow rez'!K3:K12)</f>
        <v>11550235.949999999</v>
      </c>
      <c r="F28" s="112">
        <f>SUMIF('pow rez'!$C$3:$C$12,"W",'pow rez'!N3:N12)</f>
        <v>0</v>
      </c>
      <c r="G28" s="106">
        <f>SUMIF('pow rez'!$C$3:$C$12,"W",'pow rez'!O3:O12)</f>
        <v>1100058.8500000001</v>
      </c>
      <c r="H28" s="106">
        <f>SUMIF('pow rez'!$C$3:$C$12,"W",'pow rez'!P3:P12)</f>
        <v>2750058.85</v>
      </c>
      <c r="I28" s="106">
        <f>SUMIF('pow rez'!$C$3:$C$12,"W",'pow rez'!Q3:Q12)</f>
        <v>2750058.85</v>
      </c>
      <c r="J28" s="102">
        <f>SUMIF('pow rez'!$C$3:$C$12,"W",'pow rez'!R3:R12)</f>
        <v>2750059.4</v>
      </c>
      <c r="K28" s="106">
        <f>SUMIF('pow rez'!$C$3:$C$12,"W",'pow rez'!S3:S12)</f>
        <v>2200000</v>
      </c>
      <c r="L28" s="106">
        <f>SUMIF('pow rez'!$C$3:$C$12,"W",'pow rez'!T3:T12)</f>
        <v>0</v>
      </c>
      <c r="M28" s="106">
        <f>SUMIF('pow rez'!$C$3:$C$12,"W",'pow rez'!U3:U12)</f>
        <v>0</v>
      </c>
      <c r="N28" s="106">
        <f>SUMIF('pow rez'!$C$3:$C$12,"W",'pow rez'!V3:V12)</f>
        <v>0</v>
      </c>
      <c r="O28" s="113">
        <f>SUMIF('pow rez'!$C$3:$C$12,"W",'pow rez'!W3:W12)</f>
        <v>0</v>
      </c>
      <c r="P28" s="17" t="b">
        <f t="shared" si="7"/>
        <v>1</v>
      </c>
      <c r="Q28" s="35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62" t="s">
        <v>2</v>
      </c>
      <c r="B29" s="359">
        <f>COUNTA('gm rez'!L3:L20)</f>
        <v>13</v>
      </c>
      <c r="C29" s="63">
        <f>SUM('gm rez'!K3:K20)</f>
        <v>72785823</v>
      </c>
      <c r="D29" s="64">
        <f>SUM('gm rez'!M3:M20)</f>
        <v>36105803.039999992</v>
      </c>
      <c r="E29" s="65">
        <f>SUM('gm rez'!L3:L20)</f>
        <v>36680019.960000001</v>
      </c>
      <c r="F29" s="66">
        <f>SUM('gm rez'!O3:O20)</f>
        <v>0</v>
      </c>
      <c r="G29" s="63">
        <f>SUM('gm rez'!P3:P20)</f>
        <v>26234889.810000002</v>
      </c>
      <c r="H29" s="63">
        <f>SUM('gm rez'!Q3:Q20)</f>
        <v>9315213.1500000004</v>
      </c>
      <c r="I29" s="63">
        <f>SUM('gm rez'!R3:R20)</f>
        <v>1129917</v>
      </c>
      <c r="J29" s="63">
        <f>SUM('gm rez'!S3:S20)</f>
        <v>0</v>
      </c>
      <c r="K29" s="63">
        <f>SUM('gm rez'!T3:T20)</f>
        <v>0</v>
      </c>
      <c r="L29" s="63">
        <f>SUM('gm rez'!U3:U20)</f>
        <v>0</v>
      </c>
      <c r="M29" s="63">
        <f>SUM('gm rez'!V3:V20)</f>
        <v>0</v>
      </c>
      <c r="N29" s="63">
        <f>SUM('gm rez'!W3:W20)</f>
        <v>0</v>
      </c>
      <c r="O29" s="67">
        <f>SUM('gm rez'!X3:X20)</f>
        <v>0</v>
      </c>
      <c r="P29" s="17" t="b">
        <f t="shared" si="7"/>
        <v>1</v>
      </c>
      <c r="Q29" s="35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9" t="s">
        <v>36</v>
      </c>
      <c r="B30" s="361">
        <f>COUNTIF('gm rez'!C3:C20,"N")</f>
        <v>7</v>
      </c>
      <c r="C30" s="104">
        <f>SUMIF('gm rez'!C3:C20,"N",'gm rez'!K3:K20)</f>
        <v>31393815</v>
      </c>
      <c r="D30" s="105">
        <f>SUMIF('gm rez'!C3:C20,"N",'gm rez'!M3:M20)</f>
        <v>16192902.239999995</v>
      </c>
      <c r="E30" s="40">
        <f>SUMIF('gm rez'!C3:C20,"N",'gm rez'!L3:L20)</f>
        <v>15200912.760000005</v>
      </c>
      <c r="F30" s="110">
        <f>SUMIF('gm rez'!C3:C20,"N",'gm rez'!O3:O20)</f>
        <v>0</v>
      </c>
      <c r="G30" s="104">
        <f>SUMIF('gm rez'!C3:C20,"N",'gm rez'!P3:P20)</f>
        <v>15200912.760000005</v>
      </c>
      <c r="H30" s="104">
        <f>SUMIF('gm rez'!C3:C20,"N",'gm rez'!Q3:Q20)</f>
        <v>0</v>
      </c>
      <c r="I30" s="104">
        <f>SUMIF('gm rez'!D3:D20,"N",'gm rez'!R3:R20)</f>
        <v>0</v>
      </c>
      <c r="J30" s="104">
        <f>SUMIF('gm rez'!E3:E20,"N",'gm rez'!S3:S20)</f>
        <v>0</v>
      </c>
      <c r="K30" s="104">
        <f>SUMIF('gm rez'!F3:F20,"N",'gm rez'!T3:T20)</f>
        <v>0</v>
      </c>
      <c r="L30" s="104">
        <f>SUMIF('gm rez'!G3:G20,"N",'gm rez'!U3:U20)</f>
        <v>0</v>
      </c>
      <c r="M30" s="104">
        <f>SUMIF('gm rez'!H3:H20,"N",'gm rez'!V3:V20)</f>
        <v>0</v>
      </c>
      <c r="N30" s="104">
        <f>SUMIF('gm rez'!I3:I20,"N",'gm rez'!W3:W20)</f>
        <v>0</v>
      </c>
      <c r="O30" s="111">
        <f>SUMIF('gm rez'!J3:J20,"N",'gm rez'!X3:X20)</f>
        <v>0</v>
      </c>
      <c r="P30" s="17" t="b">
        <f t="shared" si="7"/>
        <v>1</v>
      </c>
      <c r="Q30" s="35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70" t="s">
        <v>37</v>
      </c>
      <c r="B31" s="362">
        <f>COUNTIF('gm rez'!C3:C20,"W")</f>
        <v>6</v>
      </c>
      <c r="C31" s="106">
        <f>SUMIF('gm rez'!C3:C20,"W",'gm rez'!K3:K20)</f>
        <v>41392008</v>
      </c>
      <c r="D31" s="107">
        <f>SUMIF('gm rez'!C3:C20,"W",'gm rez'!M3:M20)</f>
        <v>19912900.800000001</v>
      </c>
      <c r="E31" s="71">
        <f>SUMIF('gm rez'!C3:C20,"W",'gm rez'!L3:L20)</f>
        <v>21479107.199999999</v>
      </c>
      <c r="F31" s="112">
        <f>SUMIF('gm rez'!C3:C20,"W",'gm rez'!O3:O20)</f>
        <v>0</v>
      </c>
      <c r="G31" s="106">
        <f>SUMIF('gm rez'!C3:C20,"W",'gm rez'!P3:P20)</f>
        <v>11033977.050000001</v>
      </c>
      <c r="H31" s="106">
        <f>SUMIF('gm rez'!C3:C20,"W",'gm rez'!Q3:Q20)</f>
        <v>9315213.1500000004</v>
      </c>
      <c r="I31" s="106">
        <f>SUMIF('gm rez'!C3:C20,"W",'gm rez'!R3:R20)</f>
        <v>1129917</v>
      </c>
      <c r="J31" s="106">
        <f>SUMIF('gm rez'!E3:E20,"W",'gm rez'!S3:S20)</f>
        <v>0</v>
      </c>
      <c r="K31" s="106">
        <f>SUMIF('gm rez'!F3:F20,"W",'gm rez'!T3:T20)</f>
        <v>0</v>
      </c>
      <c r="L31" s="106">
        <f>SUMIF('gm rez'!G3:G20,"W",'gm rez'!U3:U20)</f>
        <v>0</v>
      </c>
      <c r="M31" s="106">
        <f>SUMIF('gm rez'!H3:H20,"W",'gm rez'!V3:V20)</f>
        <v>0</v>
      </c>
      <c r="N31" s="106">
        <f>SUMIF('gm rez'!I3:I20,"W",'gm rez'!W3:W20)</f>
        <v>0</v>
      </c>
      <c r="O31" s="113">
        <f>SUMIF('gm rez'!J3:J20,"W",'gm rez'!X3:X20)</f>
        <v>0</v>
      </c>
      <c r="P31" s="17" t="b">
        <f t="shared" si="7"/>
        <v>1</v>
      </c>
      <c r="Q31" s="35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50" t="s">
        <v>830</v>
      </c>
      <c r="B32" s="367">
        <f>B26+B29</f>
        <v>19</v>
      </c>
      <c r="C32" s="87">
        <f t="shared" ref="C32:O32" si="9">C26+C29</f>
        <v>124024562</v>
      </c>
      <c r="D32" s="88">
        <f t="shared" si="9"/>
        <v>58346796.389999993</v>
      </c>
      <c r="E32" s="61">
        <f t="shared" si="9"/>
        <v>65677765.609999999</v>
      </c>
      <c r="F32" s="89">
        <f t="shared" si="9"/>
        <v>0</v>
      </c>
      <c r="G32" s="87">
        <f>G26+G29</f>
        <v>44782458.359999999</v>
      </c>
      <c r="H32" s="87">
        <f t="shared" si="9"/>
        <v>12065272</v>
      </c>
      <c r="I32" s="87">
        <f t="shared" si="9"/>
        <v>3879975.85</v>
      </c>
      <c r="J32" s="87">
        <f t="shared" si="9"/>
        <v>2750059.4</v>
      </c>
      <c r="K32" s="87">
        <f t="shared" si="9"/>
        <v>2200000</v>
      </c>
      <c r="L32" s="87">
        <f t="shared" si="9"/>
        <v>0</v>
      </c>
      <c r="M32" s="87">
        <f t="shared" si="9"/>
        <v>0</v>
      </c>
      <c r="N32" s="87">
        <f t="shared" si="9"/>
        <v>0</v>
      </c>
      <c r="O32" s="344">
        <f t="shared" si="9"/>
        <v>0</v>
      </c>
      <c r="P32" s="17" t="b">
        <f t="shared" si="7"/>
        <v>1</v>
      </c>
      <c r="Q32" s="35" t="b">
        <f t="shared" si="8"/>
        <v>1</v>
      </c>
      <c r="R32" s="26"/>
      <c r="S32" s="26"/>
      <c r="T32" s="2"/>
      <c r="U32" s="2"/>
    </row>
    <row r="33" spans="1:21" ht="39.950000000000003" customHeight="1">
      <c r="A33" s="351" t="s">
        <v>36</v>
      </c>
      <c r="B33" s="368">
        <f t="shared" ref="B33:O33" si="10">B27+B30</f>
        <v>12</v>
      </c>
      <c r="C33" s="50">
        <f t="shared" si="10"/>
        <v>61632125</v>
      </c>
      <c r="D33" s="54">
        <f t="shared" si="10"/>
        <v>28983702.539999995</v>
      </c>
      <c r="E33" s="40">
        <f t="shared" si="10"/>
        <v>32648422.460000005</v>
      </c>
      <c r="F33" s="57">
        <f t="shared" si="10"/>
        <v>0</v>
      </c>
      <c r="G33" s="50">
        <f t="shared" si="10"/>
        <v>32648422.460000005</v>
      </c>
      <c r="H33" s="50">
        <f t="shared" si="10"/>
        <v>0</v>
      </c>
      <c r="I33" s="50">
        <f t="shared" si="10"/>
        <v>0</v>
      </c>
      <c r="J33" s="50">
        <f>J27+J30</f>
        <v>0</v>
      </c>
      <c r="K33" s="50">
        <f t="shared" si="10"/>
        <v>0</v>
      </c>
      <c r="L33" s="50">
        <f t="shared" si="10"/>
        <v>0</v>
      </c>
      <c r="M33" s="50">
        <f t="shared" si="10"/>
        <v>0</v>
      </c>
      <c r="N33" s="50">
        <f t="shared" si="10"/>
        <v>0</v>
      </c>
      <c r="O33" s="345">
        <f t="shared" si="10"/>
        <v>0</v>
      </c>
      <c r="P33" s="17" t="b">
        <f t="shared" si="7"/>
        <v>1</v>
      </c>
      <c r="Q33" s="35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52" t="s">
        <v>37</v>
      </c>
      <c r="B34" s="369">
        <f t="shared" ref="B34:O34" si="11">B28+B31</f>
        <v>7</v>
      </c>
      <c r="C34" s="90">
        <f t="shared" si="11"/>
        <v>62392437</v>
      </c>
      <c r="D34" s="91">
        <f t="shared" si="11"/>
        <v>29363093.850000001</v>
      </c>
      <c r="E34" s="92">
        <f t="shared" si="11"/>
        <v>33029343.149999999</v>
      </c>
      <c r="F34" s="93">
        <f t="shared" si="11"/>
        <v>0</v>
      </c>
      <c r="G34" s="90">
        <f t="shared" si="11"/>
        <v>12134035.9</v>
      </c>
      <c r="H34" s="90">
        <f t="shared" si="11"/>
        <v>12065272</v>
      </c>
      <c r="I34" s="90">
        <f t="shared" si="11"/>
        <v>3879975.85</v>
      </c>
      <c r="J34" s="90">
        <f>J28+J31</f>
        <v>2750059.4</v>
      </c>
      <c r="K34" s="90">
        <f t="shared" si="11"/>
        <v>2200000</v>
      </c>
      <c r="L34" s="90">
        <f t="shared" si="11"/>
        <v>0</v>
      </c>
      <c r="M34" s="90">
        <f t="shared" si="11"/>
        <v>0</v>
      </c>
      <c r="N34" s="90">
        <f t="shared" si="11"/>
        <v>0</v>
      </c>
      <c r="O34" s="346">
        <f t="shared" si="11"/>
        <v>0</v>
      </c>
      <c r="P34" s="17" t="b">
        <f t="shared" si="7"/>
        <v>1</v>
      </c>
      <c r="Q34" s="35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94" t="s">
        <v>831</v>
      </c>
      <c r="B35" s="370">
        <f>B22+B32</f>
        <v>128</v>
      </c>
      <c r="C35" s="95">
        <f t="shared" ref="C35:O35" si="12">C22+C32</f>
        <v>627295756.76999998</v>
      </c>
      <c r="D35" s="96">
        <f t="shared" si="12"/>
        <v>301082550.47999996</v>
      </c>
      <c r="E35" s="192">
        <f t="shared" si="12"/>
        <v>326213206.29000002</v>
      </c>
      <c r="F35" s="97">
        <f t="shared" si="12"/>
        <v>28467420.100000001</v>
      </c>
      <c r="G35" s="95">
        <f t="shared" si="12"/>
        <v>205571711.53000003</v>
      </c>
      <c r="H35" s="95">
        <f t="shared" si="12"/>
        <v>69396137.939999998</v>
      </c>
      <c r="I35" s="95">
        <f t="shared" si="12"/>
        <v>17827877.32</v>
      </c>
      <c r="J35" s="95">
        <f t="shared" si="12"/>
        <v>2750059.4</v>
      </c>
      <c r="K35" s="95">
        <f t="shared" si="12"/>
        <v>2200000</v>
      </c>
      <c r="L35" s="95">
        <f t="shared" si="12"/>
        <v>0</v>
      </c>
      <c r="M35" s="95">
        <f t="shared" si="12"/>
        <v>0</v>
      </c>
      <c r="N35" s="95">
        <f t="shared" si="12"/>
        <v>0</v>
      </c>
      <c r="O35" s="98">
        <f t="shared" si="12"/>
        <v>0</v>
      </c>
      <c r="P35" s="17" t="b">
        <f t="shared" si="7"/>
        <v>1</v>
      </c>
      <c r="Q35" s="35" t="b">
        <f t="shared" si="8"/>
        <v>1</v>
      </c>
      <c r="R35" s="26"/>
      <c r="S35" s="26"/>
      <c r="T35" s="2"/>
      <c r="U35" s="2"/>
    </row>
    <row r="36" spans="1:21" ht="39.950000000000003" customHeight="1">
      <c r="A36" s="246" t="s">
        <v>35</v>
      </c>
      <c r="B36" s="371">
        <f>B23</f>
        <v>32</v>
      </c>
      <c r="C36" s="247">
        <f t="shared" ref="C36:O36" si="13">C23</f>
        <v>229759784.19</v>
      </c>
      <c r="D36" s="247">
        <f t="shared" si="13"/>
        <v>115282184.48999999</v>
      </c>
      <c r="E36" s="247">
        <f t="shared" si="13"/>
        <v>114477599.69999999</v>
      </c>
      <c r="F36" s="247">
        <f t="shared" si="13"/>
        <v>28467420.100000001</v>
      </c>
      <c r="G36" s="247">
        <f t="shared" si="13"/>
        <v>47778259.379999995</v>
      </c>
      <c r="H36" s="247">
        <f t="shared" si="13"/>
        <v>27852285.600000001</v>
      </c>
      <c r="I36" s="247">
        <f t="shared" si="13"/>
        <v>10379634.620000001</v>
      </c>
      <c r="J36" s="247">
        <f t="shared" si="13"/>
        <v>0</v>
      </c>
      <c r="K36" s="247">
        <f t="shared" si="13"/>
        <v>0</v>
      </c>
      <c r="L36" s="247">
        <f t="shared" si="13"/>
        <v>0</v>
      </c>
      <c r="M36" s="247">
        <f t="shared" si="13"/>
        <v>0</v>
      </c>
      <c r="N36" s="247">
        <f t="shared" si="13"/>
        <v>0</v>
      </c>
      <c r="O36" s="347">
        <f t="shared" si="13"/>
        <v>0</v>
      </c>
      <c r="P36" s="17" t="b">
        <f t="shared" si="7"/>
        <v>1</v>
      </c>
      <c r="Q36" s="35" t="b">
        <f t="shared" si="8"/>
        <v>1</v>
      </c>
      <c r="R36" s="26"/>
      <c r="S36" s="26"/>
      <c r="T36" s="2"/>
      <c r="U36" s="2"/>
    </row>
    <row r="37" spans="1:21" ht="39.950000000000003" customHeight="1">
      <c r="A37" s="245" t="s">
        <v>36</v>
      </c>
      <c r="B37" s="372">
        <f>B24+B33</f>
        <v>72</v>
      </c>
      <c r="C37" s="244">
        <f t="shared" ref="C37:O38" si="14">C24+C33</f>
        <v>209749525.31</v>
      </c>
      <c r="D37" s="244">
        <f t="shared" si="14"/>
        <v>91531837.12999998</v>
      </c>
      <c r="E37" s="244">
        <f t="shared" si="14"/>
        <v>118217688.18000002</v>
      </c>
      <c r="F37" s="244">
        <f t="shared" si="14"/>
        <v>0</v>
      </c>
      <c r="G37" s="244">
        <f t="shared" si="14"/>
        <v>118217688.18000002</v>
      </c>
      <c r="H37" s="244">
        <f t="shared" si="14"/>
        <v>0</v>
      </c>
      <c r="I37" s="244">
        <f t="shared" si="14"/>
        <v>0</v>
      </c>
      <c r="J37" s="244">
        <f t="shared" si="14"/>
        <v>0</v>
      </c>
      <c r="K37" s="244">
        <f t="shared" si="14"/>
        <v>0</v>
      </c>
      <c r="L37" s="244">
        <f t="shared" si="14"/>
        <v>0</v>
      </c>
      <c r="M37" s="244">
        <f t="shared" si="14"/>
        <v>0</v>
      </c>
      <c r="N37" s="244">
        <f t="shared" si="14"/>
        <v>0</v>
      </c>
      <c r="O37" s="348">
        <f t="shared" si="14"/>
        <v>0</v>
      </c>
      <c r="P37" s="17" t="b">
        <f t="shared" si="7"/>
        <v>1</v>
      </c>
      <c r="Q37" s="35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9" t="s">
        <v>37</v>
      </c>
      <c r="B38" s="373">
        <f>B25+B34</f>
        <v>24</v>
      </c>
      <c r="C38" s="100">
        <f t="shared" si="14"/>
        <v>187786447.26999998</v>
      </c>
      <c r="D38" s="100">
        <f t="shared" si="14"/>
        <v>94268528.860000014</v>
      </c>
      <c r="E38" s="100">
        <f t="shared" si="14"/>
        <v>93517918.409999996</v>
      </c>
      <c r="F38" s="100">
        <f t="shared" si="14"/>
        <v>0</v>
      </c>
      <c r="G38" s="100">
        <f t="shared" si="14"/>
        <v>39575763.969999999</v>
      </c>
      <c r="H38" s="100">
        <f t="shared" si="14"/>
        <v>41543852.339999989</v>
      </c>
      <c r="I38" s="100">
        <f t="shared" si="14"/>
        <v>7448242.7000000002</v>
      </c>
      <c r="J38" s="100">
        <f t="shared" si="14"/>
        <v>2750059.4</v>
      </c>
      <c r="K38" s="100">
        <f t="shared" si="14"/>
        <v>2200000</v>
      </c>
      <c r="L38" s="100">
        <f t="shared" si="14"/>
        <v>0</v>
      </c>
      <c r="M38" s="100">
        <f t="shared" si="14"/>
        <v>0</v>
      </c>
      <c r="N38" s="100">
        <f t="shared" si="14"/>
        <v>0</v>
      </c>
      <c r="O38" s="349">
        <f t="shared" si="14"/>
        <v>0</v>
      </c>
      <c r="P38" s="17" t="b">
        <f t="shared" si="7"/>
        <v>1</v>
      </c>
      <c r="Q38" s="35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374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374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374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374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375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375" t="b">
        <f>B14=B15+B16+B17</f>
        <v>1</v>
      </c>
      <c r="C44" s="375" t="b">
        <f t="shared" ref="C44:O44" si="18">C14=C15+C16+C17</f>
        <v>1</v>
      </c>
      <c r="D44" s="375" t="b">
        <f t="shared" si="18"/>
        <v>1</v>
      </c>
      <c r="E44" s="375" t="b">
        <f t="shared" si="18"/>
        <v>1</v>
      </c>
      <c r="F44" s="375" t="b">
        <f t="shared" si="18"/>
        <v>1</v>
      </c>
      <c r="G44" s="375" t="b">
        <f t="shared" si="18"/>
        <v>1</v>
      </c>
      <c r="H44" s="375" t="b">
        <f t="shared" si="18"/>
        <v>1</v>
      </c>
      <c r="I44" s="375" t="b">
        <f t="shared" si="18"/>
        <v>1</v>
      </c>
      <c r="J44" s="375" t="b">
        <f t="shared" si="18"/>
        <v>1</v>
      </c>
      <c r="K44" s="375" t="b">
        <f t="shared" si="18"/>
        <v>1</v>
      </c>
      <c r="L44" s="375" t="b">
        <f t="shared" si="18"/>
        <v>1</v>
      </c>
      <c r="M44" s="375" t="b">
        <f t="shared" si="18"/>
        <v>1</v>
      </c>
      <c r="N44" s="375" t="b">
        <f t="shared" si="18"/>
        <v>1</v>
      </c>
      <c r="O44" s="375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375" t="b">
        <f>B18=B19+B20+B21</f>
        <v>1</v>
      </c>
      <c r="C45" s="375" t="b">
        <f t="shared" ref="C45:O45" si="19">C18=C19+C20+C21</f>
        <v>1</v>
      </c>
      <c r="D45" s="375" t="b">
        <f t="shared" si="19"/>
        <v>1</v>
      </c>
      <c r="E45" s="375" t="b">
        <f t="shared" si="19"/>
        <v>1</v>
      </c>
      <c r="F45" s="375" t="b">
        <f t="shared" si="19"/>
        <v>1</v>
      </c>
      <c r="G45" s="375" t="b">
        <f t="shared" si="19"/>
        <v>1</v>
      </c>
      <c r="H45" s="375" t="b">
        <f t="shared" si="19"/>
        <v>1</v>
      </c>
      <c r="I45" s="375" t="b">
        <f t="shared" si="19"/>
        <v>1</v>
      </c>
      <c r="J45" s="375" t="b">
        <f t="shared" si="19"/>
        <v>1</v>
      </c>
      <c r="K45" s="375" t="b">
        <f t="shared" si="19"/>
        <v>1</v>
      </c>
      <c r="L45" s="375" t="b">
        <f t="shared" si="19"/>
        <v>1</v>
      </c>
      <c r="M45" s="375" t="b">
        <f t="shared" si="19"/>
        <v>1</v>
      </c>
      <c r="N45" s="375" t="b">
        <f t="shared" si="19"/>
        <v>1</v>
      </c>
      <c r="O45" s="375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1"/>
  <sheetViews>
    <sheetView showGridLines="0" view="pageBreakPreview" topLeftCell="L29" zoomScaleNormal="78" zoomScaleSheetLayoutView="100" workbookViewId="0">
      <selection activeCell="O38" sqref="O38"/>
    </sheetView>
  </sheetViews>
  <sheetFormatPr defaultColWidth="9.140625" defaultRowHeight="15"/>
  <cols>
    <col min="1" max="1" width="5" style="1" customWidth="1"/>
    <col min="2" max="2" width="12" style="146" customWidth="1"/>
    <col min="3" max="3" width="12.42578125" style="1" customWidth="1"/>
    <col min="4" max="4" width="24.7109375" style="11" customWidth="1"/>
    <col min="5" max="5" width="10.7109375" style="36" customWidth="1"/>
    <col min="6" max="6" width="38.7109375" style="3" customWidth="1"/>
    <col min="7" max="7" width="8.7109375" style="1" customWidth="1"/>
    <col min="8" max="8" width="15.85546875" style="1" customWidth="1"/>
    <col min="9" max="9" width="15.85546875" style="248" customWidth="1"/>
    <col min="10" max="10" width="17" style="150" customWidth="1"/>
    <col min="11" max="11" width="12.5703125" style="144" customWidth="1"/>
    <col min="12" max="12" width="15.7109375" style="144" customWidth="1"/>
    <col min="13" max="13" width="12.28515625" style="152" customWidth="1"/>
    <col min="14" max="14" width="11.5703125" style="3" customWidth="1"/>
    <col min="15" max="16" width="12.28515625" style="3" bestFit="1" customWidth="1"/>
    <col min="17" max="17" width="11.28515625" style="3" bestFit="1" customWidth="1"/>
    <col min="18" max="21" width="9.85546875" style="3" customWidth="1"/>
    <col min="22" max="22" width="10.7109375" style="3" customWidth="1"/>
    <col min="23" max="23" width="9.85546875" style="3" customWidth="1"/>
    <col min="24" max="24" width="15.7109375" style="36" customWidth="1"/>
    <col min="25" max="26" width="15.7109375" style="1" customWidth="1"/>
    <col min="27" max="27" width="15.7109375" style="36" customWidth="1"/>
    <col min="28" max="16384" width="9.140625" style="3"/>
  </cols>
  <sheetData>
    <row r="1" spans="1:27" s="209" customFormat="1" ht="20.100000000000001" customHeight="1">
      <c r="A1" s="443" t="s">
        <v>3</v>
      </c>
      <c r="B1" s="443" t="s">
        <v>4</v>
      </c>
      <c r="C1" s="444" t="s">
        <v>41</v>
      </c>
      <c r="D1" s="441" t="s">
        <v>5</v>
      </c>
      <c r="E1" s="441" t="s">
        <v>30</v>
      </c>
      <c r="F1" s="441" t="s">
        <v>6</v>
      </c>
      <c r="G1" s="443" t="s">
        <v>23</v>
      </c>
      <c r="H1" s="443" t="s">
        <v>7</v>
      </c>
      <c r="I1" s="443" t="s">
        <v>20</v>
      </c>
      <c r="J1" s="443" t="s">
        <v>8</v>
      </c>
      <c r="K1" s="443" t="s">
        <v>15</v>
      </c>
      <c r="L1" s="441" t="s">
        <v>12</v>
      </c>
      <c r="M1" s="443" t="s">
        <v>10</v>
      </c>
      <c r="N1" s="443" t="s">
        <v>11</v>
      </c>
      <c r="O1" s="443"/>
      <c r="P1" s="443"/>
      <c r="Q1" s="443"/>
      <c r="R1" s="443"/>
      <c r="S1" s="443"/>
      <c r="T1" s="443"/>
      <c r="U1" s="443"/>
      <c r="V1" s="443"/>
      <c r="W1" s="443"/>
      <c r="X1" s="249"/>
      <c r="Y1" s="249"/>
      <c r="Z1" s="249"/>
      <c r="AA1" s="250"/>
    </row>
    <row r="2" spans="1:27" s="209" customFormat="1" ht="32.65" customHeight="1" thickBot="1">
      <c r="A2" s="443"/>
      <c r="B2" s="443"/>
      <c r="C2" s="445"/>
      <c r="D2" s="442"/>
      <c r="E2" s="442"/>
      <c r="F2" s="442"/>
      <c r="G2" s="443"/>
      <c r="H2" s="443"/>
      <c r="I2" s="443"/>
      <c r="J2" s="443"/>
      <c r="K2" s="443"/>
      <c r="L2" s="442"/>
      <c r="M2" s="443"/>
      <c r="N2" s="411">
        <v>2019</v>
      </c>
      <c r="O2" s="411">
        <v>2020</v>
      </c>
      <c r="P2" s="411">
        <v>2021</v>
      </c>
      <c r="Q2" s="411">
        <v>2022</v>
      </c>
      <c r="R2" s="411">
        <v>2023</v>
      </c>
      <c r="S2" s="353">
        <v>2024</v>
      </c>
      <c r="T2" s="411">
        <v>2025</v>
      </c>
      <c r="U2" s="411">
        <v>2026</v>
      </c>
      <c r="V2" s="411">
        <v>2027</v>
      </c>
      <c r="W2" s="411">
        <v>2028</v>
      </c>
      <c r="X2" s="249" t="s">
        <v>26</v>
      </c>
      <c r="Y2" s="249" t="s">
        <v>27</v>
      </c>
      <c r="Z2" s="249" t="s">
        <v>28</v>
      </c>
      <c r="AA2" s="251" t="s">
        <v>29</v>
      </c>
    </row>
    <row r="3" spans="1:27" s="131" customFormat="1" ht="57" thickTop="1">
      <c r="A3" s="252">
        <v>1</v>
      </c>
      <c r="B3" s="487" t="s">
        <v>384</v>
      </c>
      <c r="C3" s="252" t="s">
        <v>100</v>
      </c>
      <c r="D3" s="253" t="s">
        <v>75</v>
      </c>
      <c r="E3" s="488">
        <v>2403</v>
      </c>
      <c r="F3" s="254" t="s">
        <v>106</v>
      </c>
      <c r="G3" s="255" t="s">
        <v>121</v>
      </c>
      <c r="H3" s="256">
        <v>1.1779999999999999</v>
      </c>
      <c r="I3" s="255" t="s">
        <v>122</v>
      </c>
      <c r="J3" s="257">
        <v>8834716.5399999991</v>
      </c>
      <c r="K3" s="257">
        <f>O3+N3</f>
        <v>6184301</v>
      </c>
      <c r="L3" s="257">
        <v>2650415.5399999991</v>
      </c>
      <c r="M3" s="398">
        <v>0.7</v>
      </c>
      <c r="N3" s="258">
        <v>32501.699999999997</v>
      </c>
      <c r="O3" s="258">
        <v>6151799.2999999998</v>
      </c>
      <c r="P3" s="258"/>
      <c r="Q3" s="257"/>
      <c r="R3" s="259"/>
      <c r="S3" s="260"/>
      <c r="T3" s="257"/>
      <c r="U3" s="257"/>
      <c r="V3" s="257"/>
      <c r="W3" s="257"/>
      <c r="X3" s="261" t="b">
        <f t="shared" ref="X3:X17" si="0">K3=SUM(N3:W3)</f>
        <v>1</v>
      </c>
      <c r="Y3" s="262">
        <f t="shared" ref="Y3:Y17" si="1">ROUND(K3/J3,4)</f>
        <v>0.7</v>
      </c>
      <c r="Z3" s="263" t="b">
        <f t="shared" ref="Z3:Z17" si="2">Y3=M3</f>
        <v>1</v>
      </c>
      <c r="AA3" s="263" t="b">
        <f t="shared" ref="AA3:AA17" si="3">J3=K3+L3</f>
        <v>1</v>
      </c>
    </row>
    <row r="4" spans="1:27" s="118" customFormat="1" ht="45">
      <c r="A4" s="264">
        <v>2</v>
      </c>
      <c r="B4" s="277" t="s">
        <v>385</v>
      </c>
      <c r="C4" s="264" t="s">
        <v>100</v>
      </c>
      <c r="D4" s="265" t="s">
        <v>101</v>
      </c>
      <c r="E4" s="335">
        <v>2404</v>
      </c>
      <c r="F4" s="266" t="s">
        <v>107</v>
      </c>
      <c r="G4" s="267" t="s">
        <v>123</v>
      </c>
      <c r="H4" s="268">
        <v>15.569000000000001</v>
      </c>
      <c r="I4" s="267" t="s">
        <v>124</v>
      </c>
      <c r="J4" s="399">
        <v>29242719.93</v>
      </c>
      <c r="K4" s="269">
        <v>16083495.960000001</v>
      </c>
      <c r="L4" s="269">
        <v>13159223.970000001</v>
      </c>
      <c r="M4" s="311">
        <f>K4/J4</f>
        <v>0.54999999994870519</v>
      </c>
      <c r="N4" s="270">
        <v>1226775</v>
      </c>
      <c r="O4" s="270">
        <v>4629929</v>
      </c>
      <c r="P4" s="270">
        <v>5112572.5</v>
      </c>
      <c r="Q4" s="269">
        <v>5114219.46</v>
      </c>
      <c r="R4" s="271"/>
      <c r="S4" s="269"/>
      <c r="T4" s="269"/>
      <c r="U4" s="269"/>
      <c r="V4" s="269"/>
      <c r="W4" s="269"/>
      <c r="X4" s="261" t="b">
        <f t="shared" si="0"/>
        <v>1</v>
      </c>
      <c r="Y4" s="262">
        <f t="shared" si="1"/>
        <v>0.55000000000000004</v>
      </c>
      <c r="Z4" s="263" t="b">
        <f t="shared" si="2"/>
        <v>0</v>
      </c>
      <c r="AA4" s="263" t="b">
        <f t="shared" si="3"/>
        <v>1</v>
      </c>
    </row>
    <row r="5" spans="1:27" s="118" customFormat="1" ht="78.75">
      <c r="A5" s="264">
        <v>3</v>
      </c>
      <c r="B5" s="277" t="s">
        <v>386</v>
      </c>
      <c r="C5" s="264" t="s">
        <v>100</v>
      </c>
      <c r="D5" s="265" t="s">
        <v>102</v>
      </c>
      <c r="E5" s="272">
        <v>2478011</v>
      </c>
      <c r="F5" s="266" t="s">
        <v>108</v>
      </c>
      <c r="G5" s="267" t="s">
        <v>125</v>
      </c>
      <c r="H5" s="268">
        <v>1.234</v>
      </c>
      <c r="I5" s="267" t="s">
        <v>126</v>
      </c>
      <c r="J5" s="399">
        <v>16309819</v>
      </c>
      <c r="K5" s="269">
        <v>8154909</v>
      </c>
      <c r="L5" s="269">
        <v>8154910</v>
      </c>
      <c r="M5" s="311">
        <v>0.5</v>
      </c>
      <c r="N5" s="270">
        <v>4958308</v>
      </c>
      <c r="O5" s="270">
        <v>3196601</v>
      </c>
      <c r="P5" s="270"/>
      <c r="Q5" s="270"/>
      <c r="R5" s="269"/>
      <c r="S5" s="270"/>
      <c r="T5" s="270"/>
      <c r="U5" s="270"/>
      <c r="V5" s="270"/>
      <c r="W5" s="273"/>
      <c r="X5" s="261" t="b">
        <f t="shared" si="0"/>
        <v>1</v>
      </c>
      <c r="Y5" s="262">
        <f t="shared" si="1"/>
        <v>0.5</v>
      </c>
      <c r="Z5" s="263" t="b">
        <f t="shared" si="2"/>
        <v>1</v>
      </c>
      <c r="AA5" s="263" t="b">
        <f t="shared" si="3"/>
        <v>1</v>
      </c>
    </row>
    <row r="6" spans="1:27" s="118" customFormat="1" ht="22.5">
      <c r="A6" s="264">
        <v>4</v>
      </c>
      <c r="B6" s="277" t="s">
        <v>387</v>
      </c>
      <c r="C6" s="264" t="s">
        <v>100</v>
      </c>
      <c r="D6" s="265" t="s">
        <v>80</v>
      </c>
      <c r="E6" s="272">
        <v>2470011</v>
      </c>
      <c r="F6" s="266" t="s">
        <v>109</v>
      </c>
      <c r="G6" s="267" t="s">
        <v>123</v>
      </c>
      <c r="H6" s="268">
        <v>3.5</v>
      </c>
      <c r="I6" s="267" t="s">
        <v>127</v>
      </c>
      <c r="J6" s="399">
        <v>16509041.73</v>
      </c>
      <c r="K6" s="269">
        <v>7616157.5999999996</v>
      </c>
      <c r="L6" s="269">
        <v>8892884.1300000008</v>
      </c>
      <c r="M6" s="311">
        <v>0.46</v>
      </c>
      <c r="N6" s="270">
        <v>228484.8</v>
      </c>
      <c r="O6" s="270">
        <v>3579594.4</v>
      </c>
      <c r="P6" s="270">
        <v>3808078.4</v>
      </c>
      <c r="Q6" s="269"/>
      <c r="R6" s="269"/>
      <c r="S6" s="269"/>
      <c r="T6" s="269"/>
      <c r="U6" s="269"/>
      <c r="V6" s="269"/>
      <c r="W6" s="269"/>
      <c r="X6" s="261" t="b">
        <f t="shared" si="0"/>
        <v>1</v>
      </c>
      <c r="Y6" s="262">
        <f t="shared" si="1"/>
        <v>0.46129999999999999</v>
      </c>
      <c r="Z6" s="263" t="b">
        <f t="shared" si="2"/>
        <v>0</v>
      </c>
      <c r="AA6" s="263" t="b">
        <f t="shared" si="3"/>
        <v>1</v>
      </c>
    </row>
    <row r="7" spans="1:27" s="118" customFormat="1" ht="45">
      <c r="A7" s="264">
        <v>5</v>
      </c>
      <c r="B7" s="277" t="s">
        <v>388</v>
      </c>
      <c r="C7" s="264" t="s">
        <v>100</v>
      </c>
      <c r="D7" s="265" t="s">
        <v>78</v>
      </c>
      <c r="E7" s="335">
        <v>2417</v>
      </c>
      <c r="F7" s="266" t="s">
        <v>110</v>
      </c>
      <c r="G7" s="267" t="s">
        <v>123</v>
      </c>
      <c r="H7" s="268">
        <v>1.1950000000000001</v>
      </c>
      <c r="I7" s="267" t="s">
        <v>128</v>
      </c>
      <c r="J7" s="399">
        <v>966392.75</v>
      </c>
      <c r="K7" s="269">
        <v>724794.56</v>
      </c>
      <c r="L7" s="269">
        <v>241598.19</v>
      </c>
      <c r="M7" s="311">
        <v>0.75</v>
      </c>
      <c r="N7" s="270">
        <v>65967.75</v>
      </c>
      <c r="O7" s="270">
        <v>658826.81000000006</v>
      </c>
      <c r="P7" s="270"/>
      <c r="Q7" s="269"/>
      <c r="R7" s="260"/>
      <c r="S7" s="260"/>
      <c r="T7" s="260"/>
      <c r="U7" s="260"/>
      <c r="V7" s="260"/>
      <c r="W7" s="260"/>
      <c r="X7" s="261" t="b">
        <f t="shared" si="0"/>
        <v>1</v>
      </c>
      <c r="Y7" s="262">
        <f t="shared" si="1"/>
        <v>0.75</v>
      </c>
      <c r="Z7" s="263" t="b">
        <f t="shared" si="2"/>
        <v>1</v>
      </c>
      <c r="AA7" s="263" t="b">
        <f t="shared" si="3"/>
        <v>1</v>
      </c>
    </row>
    <row r="8" spans="1:27" s="118" customFormat="1" ht="33.75">
      <c r="A8" s="264">
        <v>6</v>
      </c>
      <c r="B8" s="277" t="s">
        <v>389</v>
      </c>
      <c r="C8" s="264" t="s">
        <v>100</v>
      </c>
      <c r="D8" s="265" t="s">
        <v>101</v>
      </c>
      <c r="E8" s="335">
        <v>2404</v>
      </c>
      <c r="F8" s="266" t="s">
        <v>111</v>
      </c>
      <c r="G8" s="267" t="s">
        <v>123</v>
      </c>
      <c r="H8" s="268">
        <v>3.35</v>
      </c>
      <c r="I8" s="267" t="s">
        <v>129</v>
      </c>
      <c r="J8" s="269">
        <v>7600000</v>
      </c>
      <c r="K8" s="269">
        <v>4180000.0000000005</v>
      </c>
      <c r="L8" s="269">
        <v>3420000</v>
      </c>
      <c r="M8" s="311">
        <f>K8/J8</f>
        <v>0.55000000000000004</v>
      </c>
      <c r="N8" s="270">
        <v>606100</v>
      </c>
      <c r="O8" s="270">
        <v>1324400</v>
      </c>
      <c r="P8" s="270">
        <v>1324400</v>
      </c>
      <c r="Q8" s="269">
        <v>925100.00000000012</v>
      </c>
      <c r="R8" s="260"/>
      <c r="S8" s="274"/>
      <c r="T8" s="274"/>
      <c r="U8" s="274"/>
      <c r="V8" s="274"/>
      <c r="W8" s="274"/>
      <c r="X8" s="261" t="b">
        <f t="shared" si="0"/>
        <v>1</v>
      </c>
      <c r="Y8" s="262">
        <f t="shared" si="1"/>
        <v>0.55000000000000004</v>
      </c>
      <c r="Z8" s="263" t="b">
        <f t="shared" si="2"/>
        <v>1</v>
      </c>
      <c r="AA8" s="263" t="b">
        <f t="shared" si="3"/>
        <v>1</v>
      </c>
    </row>
    <row r="9" spans="1:27" s="118" customFormat="1" ht="22.5">
      <c r="A9" s="264">
        <v>7</v>
      </c>
      <c r="B9" s="277" t="s">
        <v>390</v>
      </c>
      <c r="C9" s="264" t="s">
        <v>100</v>
      </c>
      <c r="D9" s="265" t="s">
        <v>103</v>
      </c>
      <c r="E9" s="272">
        <v>2464011</v>
      </c>
      <c r="F9" s="266" t="s">
        <v>112</v>
      </c>
      <c r="G9" s="267" t="s">
        <v>123</v>
      </c>
      <c r="H9" s="268">
        <v>0.90600000000000003</v>
      </c>
      <c r="I9" s="267" t="s">
        <v>130</v>
      </c>
      <c r="J9" s="399">
        <v>3058768</v>
      </c>
      <c r="K9" s="269">
        <v>1529384</v>
      </c>
      <c r="L9" s="269">
        <v>1529384</v>
      </c>
      <c r="M9" s="311">
        <f>K9/J9</f>
        <v>0.5</v>
      </c>
      <c r="N9" s="270">
        <v>1161282.5</v>
      </c>
      <c r="O9" s="270">
        <v>368101.5</v>
      </c>
      <c r="P9" s="270"/>
      <c r="Q9" s="269"/>
      <c r="R9" s="260"/>
      <c r="S9" s="269"/>
      <c r="T9" s="269"/>
      <c r="U9" s="269"/>
      <c r="V9" s="269"/>
      <c r="W9" s="269"/>
      <c r="X9" s="261" t="b">
        <f t="shared" si="0"/>
        <v>1</v>
      </c>
      <c r="Y9" s="262">
        <f t="shared" si="1"/>
        <v>0.5</v>
      </c>
      <c r="Z9" s="263" t="b">
        <f t="shared" si="2"/>
        <v>1</v>
      </c>
      <c r="AA9" s="263" t="b">
        <f t="shared" si="3"/>
        <v>1</v>
      </c>
    </row>
    <row r="10" spans="1:27" s="118" customFormat="1" ht="56.25">
      <c r="A10" s="264">
        <v>8</v>
      </c>
      <c r="B10" s="277" t="s">
        <v>391</v>
      </c>
      <c r="C10" s="264" t="s">
        <v>100</v>
      </c>
      <c r="D10" s="265" t="s">
        <v>77</v>
      </c>
      <c r="E10" s="335">
        <v>2409</v>
      </c>
      <c r="F10" s="266" t="s">
        <v>113</v>
      </c>
      <c r="G10" s="267" t="s">
        <v>123</v>
      </c>
      <c r="H10" s="268">
        <v>1.9810000000000001</v>
      </c>
      <c r="I10" s="267" t="s">
        <v>131</v>
      </c>
      <c r="J10" s="399">
        <v>3176142</v>
      </c>
      <c r="K10" s="269">
        <v>1905684.8</v>
      </c>
      <c r="L10" s="269">
        <v>1270457.2</v>
      </c>
      <c r="M10" s="311">
        <v>0.6</v>
      </c>
      <c r="N10" s="270">
        <v>517786.8</v>
      </c>
      <c r="O10" s="270">
        <v>1387898</v>
      </c>
      <c r="P10" s="270"/>
      <c r="Q10" s="270"/>
      <c r="R10" s="270"/>
      <c r="S10" s="270"/>
      <c r="T10" s="270"/>
      <c r="U10" s="270"/>
      <c r="V10" s="270"/>
      <c r="W10" s="273"/>
      <c r="X10" s="261" t="b">
        <f t="shared" si="0"/>
        <v>1</v>
      </c>
      <c r="Y10" s="262">
        <f t="shared" si="1"/>
        <v>0.6</v>
      </c>
      <c r="Z10" s="263" t="b">
        <f t="shared" si="2"/>
        <v>1</v>
      </c>
      <c r="AA10" s="263" t="b">
        <f t="shared" si="3"/>
        <v>1</v>
      </c>
    </row>
    <row r="11" spans="1:27" s="118" customFormat="1" ht="33.75">
      <c r="A11" s="264">
        <v>9</v>
      </c>
      <c r="B11" s="277" t="s">
        <v>392</v>
      </c>
      <c r="C11" s="264" t="s">
        <v>100</v>
      </c>
      <c r="D11" s="265" t="s">
        <v>45</v>
      </c>
      <c r="E11" s="272">
        <v>2468011</v>
      </c>
      <c r="F11" s="266" t="s">
        <v>114</v>
      </c>
      <c r="G11" s="267" t="s">
        <v>125</v>
      </c>
      <c r="H11" s="268">
        <v>0.80200000000000005</v>
      </c>
      <c r="I11" s="267" t="s">
        <v>132</v>
      </c>
      <c r="J11" s="399">
        <v>5134155.5</v>
      </c>
      <c r="K11" s="269">
        <v>2567077.75</v>
      </c>
      <c r="L11" s="269">
        <v>2567077.75</v>
      </c>
      <c r="M11" s="311">
        <v>0.5</v>
      </c>
      <c r="N11" s="270">
        <v>2567077.75</v>
      </c>
      <c r="O11" s="270">
        <v>0</v>
      </c>
      <c r="P11" s="270"/>
      <c r="Q11" s="270"/>
      <c r="R11" s="270"/>
      <c r="S11" s="270"/>
      <c r="T11" s="270"/>
      <c r="U11" s="270"/>
      <c r="V11" s="270"/>
      <c r="W11" s="273"/>
      <c r="X11" s="261" t="b">
        <f t="shared" si="0"/>
        <v>1</v>
      </c>
      <c r="Y11" s="262">
        <f t="shared" si="1"/>
        <v>0.5</v>
      </c>
      <c r="Z11" s="263" t="b">
        <f t="shared" si="2"/>
        <v>1</v>
      </c>
      <c r="AA11" s="263" t="b">
        <f t="shared" si="3"/>
        <v>1</v>
      </c>
    </row>
    <row r="12" spans="1:27" s="118" customFormat="1" ht="22.5">
      <c r="A12" s="264">
        <v>10</v>
      </c>
      <c r="B12" s="277" t="s">
        <v>393</v>
      </c>
      <c r="C12" s="264" t="s">
        <v>100</v>
      </c>
      <c r="D12" s="265" t="s">
        <v>76</v>
      </c>
      <c r="E12" s="335">
        <v>2413</v>
      </c>
      <c r="F12" s="266" t="s">
        <v>115</v>
      </c>
      <c r="G12" s="267" t="s">
        <v>123</v>
      </c>
      <c r="H12" s="268">
        <v>1.512</v>
      </c>
      <c r="I12" s="267" t="s">
        <v>133</v>
      </c>
      <c r="J12" s="399">
        <v>1475637.46</v>
      </c>
      <c r="K12" s="269">
        <v>737818.73</v>
      </c>
      <c r="L12" s="269">
        <v>737818.73</v>
      </c>
      <c r="M12" s="311">
        <v>0.5</v>
      </c>
      <c r="N12" s="270">
        <v>340000</v>
      </c>
      <c r="O12" s="270">
        <v>397818.73</v>
      </c>
      <c r="P12" s="270">
        <v>0</v>
      </c>
      <c r="Q12" s="270"/>
      <c r="R12" s="270"/>
      <c r="S12" s="270"/>
      <c r="T12" s="270"/>
      <c r="U12" s="270"/>
      <c r="V12" s="270"/>
      <c r="W12" s="273"/>
      <c r="X12" s="261" t="b">
        <f t="shared" si="0"/>
        <v>1</v>
      </c>
      <c r="Y12" s="262">
        <f t="shared" si="1"/>
        <v>0.5</v>
      </c>
      <c r="Z12" s="263" t="b">
        <f t="shared" si="2"/>
        <v>1</v>
      </c>
      <c r="AA12" s="263" t="b">
        <f t="shared" si="3"/>
        <v>1</v>
      </c>
    </row>
    <row r="13" spans="1:27" s="118" customFormat="1" ht="22.5">
      <c r="A13" s="264">
        <v>11</v>
      </c>
      <c r="B13" s="277" t="s">
        <v>394</v>
      </c>
      <c r="C13" s="264" t="s">
        <v>100</v>
      </c>
      <c r="D13" s="265" t="s">
        <v>104</v>
      </c>
      <c r="E13" s="335">
        <v>2408</v>
      </c>
      <c r="F13" s="266" t="s">
        <v>116</v>
      </c>
      <c r="G13" s="267" t="s">
        <v>123</v>
      </c>
      <c r="H13" s="268">
        <v>2.77</v>
      </c>
      <c r="I13" s="267" t="s">
        <v>134</v>
      </c>
      <c r="J13" s="399">
        <v>7478342.79</v>
      </c>
      <c r="K13" s="269">
        <v>4113088</v>
      </c>
      <c r="L13" s="269">
        <v>3365254.79</v>
      </c>
      <c r="M13" s="311">
        <f>K13/J13</f>
        <v>0.54999992852694579</v>
      </c>
      <c r="N13" s="270">
        <v>27500.000000000004</v>
      </c>
      <c r="O13" s="270">
        <v>2042794</v>
      </c>
      <c r="P13" s="270">
        <v>2042794</v>
      </c>
      <c r="Q13" s="269"/>
      <c r="R13" s="269"/>
      <c r="S13" s="269"/>
      <c r="T13" s="269"/>
      <c r="U13" s="269"/>
      <c r="V13" s="269"/>
      <c r="W13" s="269"/>
      <c r="X13" s="261" t="b">
        <f t="shared" si="0"/>
        <v>1</v>
      </c>
      <c r="Y13" s="262">
        <f t="shared" si="1"/>
        <v>0.55000000000000004</v>
      </c>
      <c r="Z13" s="263" t="b">
        <f t="shared" si="2"/>
        <v>0</v>
      </c>
      <c r="AA13" s="263" t="b">
        <f t="shared" si="3"/>
        <v>1</v>
      </c>
    </row>
    <row r="14" spans="1:27" s="118" customFormat="1" ht="22.5">
      <c r="A14" s="264">
        <v>12</v>
      </c>
      <c r="B14" s="277" t="s">
        <v>395</v>
      </c>
      <c r="C14" s="264" t="s">
        <v>100</v>
      </c>
      <c r="D14" s="265" t="s">
        <v>77</v>
      </c>
      <c r="E14" s="335">
        <v>2409</v>
      </c>
      <c r="F14" s="266" t="s">
        <v>117</v>
      </c>
      <c r="G14" s="267" t="s">
        <v>123</v>
      </c>
      <c r="H14" s="268">
        <v>2.4300000000000002</v>
      </c>
      <c r="I14" s="267" t="s">
        <v>131</v>
      </c>
      <c r="J14" s="399">
        <v>2550639.65</v>
      </c>
      <c r="K14" s="269">
        <v>1530383.79</v>
      </c>
      <c r="L14" s="269">
        <v>1020255.8599999999</v>
      </c>
      <c r="M14" s="311">
        <v>0.6</v>
      </c>
      <c r="N14" s="270">
        <v>489214.8</v>
      </c>
      <c r="O14" s="270">
        <v>1041168.99</v>
      </c>
      <c r="P14" s="270">
        <v>0</v>
      </c>
      <c r="Q14" s="270"/>
      <c r="R14" s="275"/>
      <c r="S14" s="275"/>
      <c r="T14" s="275"/>
      <c r="U14" s="275"/>
      <c r="V14" s="275"/>
      <c r="W14" s="273"/>
      <c r="X14" s="261" t="b">
        <f t="shared" si="0"/>
        <v>1</v>
      </c>
      <c r="Y14" s="262">
        <f t="shared" si="1"/>
        <v>0.6</v>
      </c>
      <c r="Z14" s="263" t="b">
        <f t="shared" si="2"/>
        <v>1</v>
      </c>
      <c r="AA14" s="263" t="b">
        <f t="shared" si="3"/>
        <v>1</v>
      </c>
    </row>
    <row r="15" spans="1:27" s="118" customFormat="1" ht="22.5">
      <c r="A15" s="264">
        <v>13</v>
      </c>
      <c r="B15" s="277" t="s">
        <v>396</v>
      </c>
      <c r="C15" s="264" t="s">
        <v>100</v>
      </c>
      <c r="D15" s="265" t="s">
        <v>105</v>
      </c>
      <c r="E15" s="272">
        <v>2463011</v>
      </c>
      <c r="F15" s="266" t="s">
        <v>118</v>
      </c>
      <c r="G15" s="267" t="s">
        <v>123</v>
      </c>
      <c r="H15" s="268">
        <v>2.133</v>
      </c>
      <c r="I15" s="276" t="s">
        <v>135</v>
      </c>
      <c r="J15" s="399">
        <v>24781777.579999998</v>
      </c>
      <c r="K15" s="269">
        <v>12390888.789999999</v>
      </c>
      <c r="L15" s="269">
        <v>12390888.789999999</v>
      </c>
      <c r="M15" s="311">
        <v>0.5</v>
      </c>
      <c r="N15" s="270">
        <v>1855000</v>
      </c>
      <c r="O15" s="270">
        <v>4177811.79</v>
      </c>
      <c r="P15" s="270">
        <v>4395000</v>
      </c>
      <c r="Q15" s="269">
        <v>1963077</v>
      </c>
      <c r="R15" s="269"/>
      <c r="S15" s="269"/>
      <c r="T15" s="269"/>
      <c r="U15" s="269"/>
      <c r="V15" s="269"/>
      <c r="W15" s="269"/>
      <c r="X15" s="261" t="b">
        <f t="shared" si="0"/>
        <v>1</v>
      </c>
      <c r="Y15" s="262">
        <f t="shared" si="1"/>
        <v>0.5</v>
      </c>
      <c r="Z15" s="263" t="b">
        <f t="shared" si="2"/>
        <v>1</v>
      </c>
      <c r="AA15" s="263" t="b">
        <f t="shared" si="3"/>
        <v>1</v>
      </c>
    </row>
    <row r="16" spans="1:27" s="118" customFormat="1" ht="33.75">
      <c r="A16" s="264">
        <v>14</v>
      </c>
      <c r="B16" s="277" t="s">
        <v>397</v>
      </c>
      <c r="C16" s="264" t="s">
        <v>100</v>
      </c>
      <c r="D16" s="265" t="s">
        <v>77</v>
      </c>
      <c r="E16" s="335">
        <v>2409</v>
      </c>
      <c r="F16" s="266" t="s">
        <v>119</v>
      </c>
      <c r="G16" s="267" t="s">
        <v>123</v>
      </c>
      <c r="H16" s="268">
        <v>0.51600000000000001</v>
      </c>
      <c r="I16" s="267" t="s">
        <v>131</v>
      </c>
      <c r="J16" s="399">
        <v>3014169.49</v>
      </c>
      <c r="K16" s="269">
        <v>1808501.69</v>
      </c>
      <c r="L16" s="269">
        <v>1205667.8000000003</v>
      </c>
      <c r="M16" s="311">
        <v>0.6</v>
      </c>
      <c r="N16" s="270">
        <v>432445.8</v>
      </c>
      <c r="O16" s="270">
        <v>1376055.89</v>
      </c>
      <c r="P16" s="270">
        <v>0</v>
      </c>
      <c r="Q16" s="270">
        <v>0</v>
      </c>
      <c r="R16" s="260"/>
      <c r="S16" s="260"/>
      <c r="T16" s="260"/>
      <c r="U16" s="260"/>
      <c r="V16" s="260"/>
      <c r="W16" s="260"/>
      <c r="X16" s="261" t="b">
        <f t="shared" si="0"/>
        <v>1</v>
      </c>
      <c r="Y16" s="262">
        <f t="shared" si="1"/>
        <v>0.6</v>
      </c>
      <c r="Z16" s="263" t="b">
        <f t="shared" si="2"/>
        <v>1</v>
      </c>
      <c r="AA16" s="263" t="b">
        <f t="shared" si="3"/>
        <v>1</v>
      </c>
    </row>
    <row r="17" spans="1:27" s="118" customFormat="1" ht="45">
      <c r="A17" s="376" t="s">
        <v>834</v>
      </c>
      <c r="B17" s="277" t="s">
        <v>398</v>
      </c>
      <c r="C17" s="264" t="s">
        <v>100</v>
      </c>
      <c r="D17" s="266" t="s">
        <v>335</v>
      </c>
      <c r="E17" s="272">
        <v>2466011</v>
      </c>
      <c r="F17" s="266" t="s">
        <v>120</v>
      </c>
      <c r="G17" s="267" t="s">
        <v>136</v>
      </c>
      <c r="H17" s="268">
        <v>1.61</v>
      </c>
      <c r="I17" s="267" t="s">
        <v>837</v>
      </c>
      <c r="J17" s="399">
        <v>42128446.07</v>
      </c>
      <c r="K17" s="269">
        <v>11616207.67</v>
      </c>
      <c r="L17" s="269">
        <v>30512238.399999999</v>
      </c>
      <c r="M17" s="311">
        <v>0.28000000000000003</v>
      </c>
      <c r="N17" s="273">
        <v>7866362</v>
      </c>
      <c r="O17" s="273">
        <v>3749845.67</v>
      </c>
      <c r="P17" s="270"/>
      <c r="Q17" s="270"/>
      <c r="R17" s="270"/>
      <c r="S17" s="270"/>
      <c r="T17" s="270"/>
      <c r="U17" s="270"/>
      <c r="V17" s="270"/>
      <c r="W17" s="273"/>
      <c r="X17" s="261" t="b">
        <f t="shared" si="0"/>
        <v>1</v>
      </c>
      <c r="Y17" s="262">
        <f t="shared" si="1"/>
        <v>0.2757</v>
      </c>
      <c r="Z17" s="263" t="b">
        <f t="shared" si="2"/>
        <v>0</v>
      </c>
      <c r="AA17" s="263" t="b">
        <f t="shared" si="3"/>
        <v>1</v>
      </c>
    </row>
    <row r="18" spans="1:27" s="118" customFormat="1" ht="22.5">
      <c r="A18" s="264">
        <v>16</v>
      </c>
      <c r="B18" s="264" t="s">
        <v>44</v>
      </c>
      <c r="C18" s="278" t="s">
        <v>66</v>
      </c>
      <c r="D18" s="279" t="s">
        <v>45</v>
      </c>
      <c r="E18" s="280">
        <v>2468011</v>
      </c>
      <c r="F18" s="281" t="s">
        <v>46</v>
      </c>
      <c r="G18" s="264" t="s">
        <v>123</v>
      </c>
      <c r="H18" s="282">
        <v>1.92</v>
      </c>
      <c r="I18" s="283" t="s">
        <v>399</v>
      </c>
      <c r="J18" s="273">
        <v>10000000</v>
      </c>
      <c r="K18" s="270">
        <f>ROUND(J18*M18,2)</f>
        <v>5000000</v>
      </c>
      <c r="L18" s="269">
        <f>J18-K18</f>
        <v>5000000</v>
      </c>
      <c r="M18" s="311">
        <v>0.5</v>
      </c>
      <c r="N18" s="270">
        <v>0</v>
      </c>
      <c r="O18" s="270">
        <v>500000</v>
      </c>
      <c r="P18" s="269">
        <v>2000000</v>
      </c>
      <c r="Q18" s="269">
        <v>2500000</v>
      </c>
      <c r="R18" s="269"/>
      <c r="S18" s="269"/>
      <c r="T18" s="269"/>
      <c r="U18" s="269"/>
      <c r="V18" s="269"/>
      <c r="W18" s="269"/>
      <c r="X18" s="261" t="b">
        <f t="shared" ref="X18" si="4">K18=SUM(N18:W18)</f>
        <v>1</v>
      </c>
      <c r="Y18" s="262">
        <f t="shared" ref="Y18" si="5">ROUND(K18/J18,4)</f>
        <v>0.5</v>
      </c>
      <c r="Z18" s="263" t="b">
        <f t="shared" ref="Z18" si="6">Y18=M18</f>
        <v>1</v>
      </c>
      <c r="AA18" s="263" t="b">
        <f t="shared" ref="AA18" si="7">J18=K18+L18</f>
        <v>1</v>
      </c>
    </row>
    <row r="19" spans="1:27" s="193" customFormat="1" ht="45.75">
      <c r="A19" s="284">
        <v>17</v>
      </c>
      <c r="B19" s="284" t="s">
        <v>47</v>
      </c>
      <c r="C19" s="285" t="s">
        <v>67</v>
      </c>
      <c r="D19" s="286" t="s">
        <v>68</v>
      </c>
      <c r="E19" s="287">
        <v>2402</v>
      </c>
      <c r="F19" s="288" t="s">
        <v>81</v>
      </c>
      <c r="G19" s="284" t="s">
        <v>123</v>
      </c>
      <c r="H19" s="289">
        <v>1.792</v>
      </c>
      <c r="I19" s="290" t="s">
        <v>441</v>
      </c>
      <c r="J19" s="291">
        <v>6805128</v>
      </c>
      <c r="K19" s="292">
        <f t="shared" ref="K19:K36" si="8">ROUND(J19*M19,2)</f>
        <v>3742820.4</v>
      </c>
      <c r="L19" s="293">
        <f t="shared" ref="L19:L36" si="9">J19-K19</f>
        <v>3062307.6</v>
      </c>
      <c r="M19" s="312">
        <v>0.55000000000000004</v>
      </c>
      <c r="N19" s="292">
        <v>0</v>
      </c>
      <c r="O19" s="292">
        <v>3742820.4</v>
      </c>
      <c r="P19" s="293"/>
      <c r="Q19" s="293"/>
      <c r="R19" s="293"/>
      <c r="S19" s="293"/>
      <c r="T19" s="293"/>
      <c r="U19" s="293"/>
      <c r="V19" s="293"/>
      <c r="W19" s="293"/>
      <c r="X19" s="261" t="b">
        <f t="shared" ref="X19:X41" si="10">K19=SUM(N19:W19)</f>
        <v>1</v>
      </c>
      <c r="Y19" s="262">
        <f t="shared" ref="Y19:Y41" si="11">ROUND(K19/J19,4)</f>
        <v>0.55000000000000004</v>
      </c>
      <c r="Z19" s="263" t="b">
        <f t="shared" ref="Z19:Z41" si="12">Y19=M19</f>
        <v>1</v>
      </c>
      <c r="AA19" s="263" t="b">
        <f t="shared" ref="AA19:AA41" si="13">J19=K19+L19</f>
        <v>1</v>
      </c>
    </row>
    <row r="20" spans="1:27" s="118" customFormat="1" ht="34.5">
      <c r="A20" s="264">
        <v>18</v>
      </c>
      <c r="B20" s="264" t="s">
        <v>48</v>
      </c>
      <c r="C20" s="278" t="s">
        <v>66</v>
      </c>
      <c r="D20" s="279" t="s">
        <v>69</v>
      </c>
      <c r="E20" s="272">
        <v>2467011</v>
      </c>
      <c r="F20" s="281" t="s">
        <v>82</v>
      </c>
      <c r="G20" s="264" t="s">
        <v>121</v>
      </c>
      <c r="H20" s="282">
        <v>0.59599999999999997</v>
      </c>
      <c r="I20" s="283" t="s">
        <v>863</v>
      </c>
      <c r="J20" s="273">
        <v>25420149</v>
      </c>
      <c r="K20" s="270">
        <f t="shared" si="8"/>
        <v>12710074.5</v>
      </c>
      <c r="L20" s="269">
        <f t="shared" si="9"/>
        <v>12710074.5</v>
      </c>
      <c r="M20" s="311">
        <v>0.5</v>
      </c>
      <c r="N20" s="270">
        <v>0</v>
      </c>
      <c r="O20" s="270">
        <v>2750000</v>
      </c>
      <c r="P20" s="269">
        <v>9960074.5</v>
      </c>
      <c r="Q20" s="269"/>
      <c r="R20" s="269"/>
      <c r="S20" s="269"/>
      <c r="T20" s="269"/>
      <c r="U20" s="269"/>
      <c r="V20" s="269"/>
      <c r="W20" s="269"/>
      <c r="X20" s="261" t="b">
        <f t="shared" si="10"/>
        <v>1</v>
      </c>
      <c r="Y20" s="262">
        <f t="shared" si="11"/>
        <v>0.5</v>
      </c>
      <c r="Z20" s="263" t="b">
        <f t="shared" si="12"/>
        <v>1</v>
      </c>
      <c r="AA20" s="263" t="b">
        <f t="shared" si="13"/>
        <v>1</v>
      </c>
    </row>
    <row r="21" spans="1:27" s="118" customFormat="1" ht="23.25">
      <c r="A21" s="264">
        <v>19</v>
      </c>
      <c r="B21" s="264" t="s">
        <v>49</v>
      </c>
      <c r="C21" s="278" t="s">
        <v>66</v>
      </c>
      <c r="D21" s="279" t="s">
        <v>70</v>
      </c>
      <c r="E21" s="280">
        <v>2410</v>
      </c>
      <c r="F21" s="281" t="s">
        <v>83</v>
      </c>
      <c r="G21" s="264" t="s">
        <v>123</v>
      </c>
      <c r="H21" s="282">
        <v>2.2370000000000001</v>
      </c>
      <c r="I21" s="283" t="s">
        <v>851</v>
      </c>
      <c r="J21" s="273">
        <v>8253594</v>
      </c>
      <c r="K21" s="270">
        <f t="shared" si="8"/>
        <v>4539476.7</v>
      </c>
      <c r="L21" s="269">
        <f t="shared" si="9"/>
        <v>3714117.3</v>
      </c>
      <c r="M21" s="311">
        <v>0.55000000000000004</v>
      </c>
      <c r="N21" s="270">
        <v>0</v>
      </c>
      <c r="O21" s="270">
        <v>3135000.0000000005</v>
      </c>
      <c r="P21" s="269">
        <v>1404476.7000000002</v>
      </c>
      <c r="Q21" s="269"/>
      <c r="R21" s="269"/>
      <c r="S21" s="269"/>
      <c r="T21" s="269"/>
      <c r="U21" s="269"/>
      <c r="V21" s="269"/>
      <c r="W21" s="269"/>
      <c r="X21" s="261" t="b">
        <f t="shared" si="10"/>
        <v>1</v>
      </c>
      <c r="Y21" s="262">
        <f t="shared" si="11"/>
        <v>0.55000000000000004</v>
      </c>
      <c r="Z21" s="263" t="b">
        <f t="shared" si="12"/>
        <v>1</v>
      </c>
      <c r="AA21" s="263" t="b">
        <f t="shared" si="13"/>
        <v>1</v>
      </c>
    </row>
    <row r="22" spans="1:27" s="118" customFormat="1" ht="45.75">
      <c r="A22" s="264">
        <v>20</v>
      </c>
      <c r="B22" s="264" t="s">
        <v>50</v>
      </c>
      <c r="C22" s="278" t="s">
        <v>66</v>
      </c>
      <c r="D22" s="279" t="s">
        <v>71</v>
      </c>
      <c r="E22" s="280">
        <v>2411</v>
      </c>
      <c r="F22" s="281" t="s">
        <v>84</v>
      </c>
      <c r="G22" s="264" t="s">
        <v>121</v>
      </c>
      <c r="H22" s="282">
        <v>0.77300000000000002</v>
      </c>
      <c r="I22" s="283" t="s">
        <v>850</v>
      </c>
      <c r="J22" s="273">
        <v>7713504</v>
      </c>
      <c r="K22" s="270">
        <f t="shared" si="8"/>
        <v>4242427.2</v>
      </c>
      <c r="L22" s="269">
        <f t="shared" si="9"/>
        <v>3471076.8</v>
      </c>
      <c r="M22" s="311">
        <v>0.55000000000000004</v>
      </c>
      <c r="N22" s="270">
        <v>0</v>
      </c>
      <c r="O22" s="270">
        <v>2750000</v>
      </c>
      <c r="P22" s="269">
        <v>1492427.2000000002</v>
      </c>
      <c r="Q22" s="269"/>
      <c r="R22" s="269"/>
      <c r="S22" s="269"/>
      <c r="T22" s="269"/>
      <c r="U22" s="269"/>
      <c r="V22" s="269"/>
      <c r="W22" s="269"/>
      <c r="X22" s="261" t="b">
        <f t="shared" si="10"/>
        <v>1</v>
      </c>
      <c r="Y22" s="262">
        <f t="shared" si="11"/>
        <v>0.55000000000000004</v>
      </c>
      <c r="Z22" s="263" t="b">
        <f t="shared" si="12"/>
        <v>1</v>
      </c>
      <c r="AA22" s="263" t="b">
        <f t="shared" si="13"/>
        <v>1</v>
      </c>
    </row>
    <row r="23" spans="1:27" s="193" customFormat="1" ht="23.25">
      <c r="A23" s="284">
        <v>21</v>
      </c>
      <c r="B23" s="284" t="s">
        <v>51</v>
      </c>
      <c r="C23" s="285" t="s">
        <v>67</v>
      </c>
      <c r="D23" s="286" t="s">
        <v>72</v>
      </c>
      <c r="E23" s="287">
        <v>2405</v>
      </c>
      <c r="F23" s="288" t="s">
        <v>85</v>
      </c>
      <c r="G23" s="284" t="s">
        <v>123</v>
      </c>
      <c r="H23" s="289">
        <v>0.627</v>
      </c>
      <c r="I23" s="290" t="s">
        <v>862</v>
      </c>
      <c r="J23" s="291">
        <v>1493834</v>
      </c>
      <c r="K23" s="292">
        <f t="shared" si="8"/>
        <v>896300.4</v>
      </c>
      <c r="L23" s="293">
        <f t="shared" si="9"/>
        <v>597533.6</v>
      </c>
      <c r="M23" s="312">
        <v>0.6</v>
      </c>
      <c r="N23" s="292">
        <v>0</v>
      </c>
      <c r="O23" s="293">
        <v>896300.4</v>
      </c>
      <c r="P23" s="292"/>
      <c r="Q23" s="293"/>
      <c r="R23" s="293"/>
      <c r="S23" s="293"/>
      <c r="T23" s="293"/>
      <c r="U23" s="293"/>
      <c r="V23" s="293"/>
      <c r="W23" s="293"/>
      <c r="X23" s="261" t="b">
        <f t="shared" si="10"/>
        <v>1</v>
      </c>
      <c r="Y23" s="262">
        <f t="shared" si="11"/>
        <v>0.6</v>
      </c>
      <c r="Z23" s="263" t="b">
        <f t="shared" si="12"/>
        <v>1</v>
      </c>
      <c r="AA23" s="263" t="b">
        <f t="shared" si="13"/>
        <v>1</v>
      </c>
    </row>
    <row r="24" spans="1:27" s="193" customFormat="1" ht="23.25">
      <c r="A24" s="284">
        <v>22</v>
      </c>
      <c r="B24" s="284" t="s">
        <v>52</v>
      </c>
      <c r="C24" s="285" t="s">
        <v>67</v>
      </c>
      <c r="D24" s="286" t="s">
        <v>72</v>
      </c>
      <c r="E24" s="287">
        <v>2405</v>
      </c>
      <c r="F24" s="288" t="s">
        <v>86</v>
      </c>
      <c r="G24" s="284" t="s">
        <v>123</v>
      </c>
      <c r="H24" s="289">
        <v>0.59399999999999997</v>
      </c>
      <c r="I24" s="290" t="s">
        <v>862</v>
      </c>
      <c r="J24" s="291">
        <v>5028827</v>
      </c>
      <c r="K24" s="292">
        <f t="shared" si="8"/>
        <v>3017296.2</v>
      </c>
      <c r="L24" s="293">
        <f t="shared" si="9"/>
        <v>2011530.7999999998</v>
      </c>
      <c r="M24" s="312">
        <v>0.6</v>
      </c>
      <c r="N24" s="292">
        <v>0</v>
      </c>
      <c r="O24" s="293">
        <v>3017296.2</v>
      </c>
      <c r="P24" s="292"/>
      <c r="Q24" s="293"/>
      <c r="R24" s="293"/>
      <c r="S24" s="293"/>
      <c r="T24" s="293"/>
      <c r="U24" s="293"/>
      <c r="V24" s="293"/>
      <c r="W24" s="293"/>
      <c r="X24" s="261" t="b">
        <f t="shared" si="10"/>
        <v>1</v>
      </c>
      <c r="Y24" s="262">
        <f t="shared" si="11"/>
        <v>0.6</v>
      </c>
      <c r="Z24" s="263" t="b">
        <f t="shared" si="12"/>
        <v>1</v>
      </c>
      <c r="AA24" s="263" t="b">
        <f t="shared" si="13"/>
        <v>1</v>
      </c>
    </row>
    <row r="25" spans="1:27" s="193" customFormat="1" ht="45.75">
      <c r="A25" s="284">
        <v>23</v>
      </c>
      <c r="B25" s="284" t="s">
        <v>53</v>
      </c>
      <c r="C25" s="285" t="s">
        <v>67</v>
      </c>
      <c r="D25" s="286" t="s">
        <v>73</v>
      </c>
      <c r="E25" s="287">
        <v>2416</v>
      </c>
      <c r="F25" s="288" t="s">
        <v>87</v>
      </c>
      <c r="G25" s="284" t="s">
        <v>123</v>
      </c>
      <c r="H25" s="289">
        <v>4.47</v>
      </c>
      <c r="I25" s="290" t="s">
        <v>860</v>
      </c>
      <c r="J25" s="291">
        <v>8491041</v>
      </c>
      <c r="K25" s="292">
        <f>ROUNDDOWN(J25*M25,0)</f>
        <v>6792832</v>
      </c>
      <c r="L25" s="293">
        <f>J25-K25</f>
        <v>1698209</v>
      </c>
      <c r="M25" s="312">
        <v>0.8</v>
      </c>
      <c r="N25" s="292"/>
      <c r="O25" s="293">
        <f>K25</f>
        <v>6792832</v>
      </c>
      <c r="P25" s="292"/>
      <c r="Q25" s="293"/>
      <c r="R25" s="293"/>
      <c r="S25" s="293"/>
      <c r="T25" s="293"/>
      <c r="U25" s="293"/>
      <c r="V25" s="293"/>
      <c r="W25" s="293"/>
      <c r="X25" s="261" t="b">
        <f t="shared" si="10"/>
        <v>1</v>
      </c>
      <c r="Y25" s="262">
        <f t="shared" si="11"/>
        <v>0.8</v>
      </c>
      <c r="Z25" s="263" t="b">
        <f t="shared" si="12"/>
        <v>1</v>
      </c>
      <c r="AA25" s="263" t="b">
        <f t="shared" si="13"/>
        <v>1</v>
      </c>
    </row>
    <row r="26" spans="1:27" s="193" customFormat="1" ht="23.25">
      <c r="A26" s="284">
        <v>24</v>
      </c>
      <c r="B26" s="284" t="s">
        <v>54</v>
      </c>
      <c r="C26" s="285" t="s">
        <v>67</v>
      </c>
      <c r="D26" s="286" t="s">
        <v>74</v>
      </c>
      <c r="E26" s="287">
        <v>2415</v>
      </c>
      <c r="F26" s="288" t="s">
        <v>88</v>
      </c>
      <c r="G26" s="284" t="s">
        <v>123</v>
      </c>
      <c r="H26" s="289">
        <v>0.872</v>
      </c>
      <c r="I26" s="290" t="s">
        <v>861</v>
      </c>
      <c r="J26" s="291">
        <v>6096564</v>
      </c>
      <c r="K26" s="292">
        <f t="shared" si="8"/>
        <v>3048282</v>
      </c>
      <c r="L26" s="293">
        <f t="shared" si="9"/>
        <v>3048282</v>
      </c>
      <c r="M26" s="312">
        <v>0.5</v>
      </c>
      <c r="N26" s="292">
        <v>0</v>
      </c>
      <c r="O26" s="293">
        <v>3048282</v>
      </c>
      <c r="P26" s="292"/>
      <c r="Q26" s="293"/>
      <c r="R26" s="293"/>
      <c r="S26" s="293"/>
      <c r="T26" s="293"/>
      <c r="U26" s="293"/>
      <c r="V26" s="293"/>
      <c r="W26" s="293"/>
      <c r="X26" s="261" t="b">
        <f t="shared" si="10"/>
        <v>1</v>
      </c>
      <c r="Y26" s="262">
        <f t="shared" si="11"/>
        <v>0.5</v>
      </c>
      <c r="Z26" s="263" t="b">
        <f t="shared" si="12"/>
        <v>1</v>
      </c>
      <c r="AA26" s="263" t="b">
        <f t="shared" si="13"/>
        <v>1</v>
      </c>
    </row>
    <row r="27" spans="1:27" s="193" customFormat="1" ht="57" customHeight="1">
      <c r="A27" s="284">
        <v>25</v>
      </c>
      <c r="B27" s="284" t="s">
        <v>55</v>
      </c>
      <c r="C27" s="285" t="s">
        <v>67</v>
      </c>
      <c r="D27" s="286" t="s">
        <v>75</v>
      </c>
      <c r="E27" s="287">
        <v>2403</v>
      </c>
      <c r="F27" s="288" t="s">
        <v>89</v>
      </c>
      <c r="G27" s="284" t="s">
        <v>121</v>
      </c>
      <c r="H27" s="289">
        <v>0.98599999999999999</v>
      </c>
      <c r="I27" s="290" t="s">
        <v>855</v>
      </c>
      <c r="J27" s="291">
        <v>4357911</v>
      </c>
      <c r="K27" s="292">
        <f t="shared" si="8"/>
        <v>2396851.0499999998</v>
      </c>
      <c r="L27" s="293">
        <f t="shared" si="9"/>
        <v>1961059.9500000002</v>
      </c>
      <c r="M27" s="312">
        <v>0.55000000000000004</v>
      </c>
      <c r="N27" s="292">
        <v>0</v>
      </c>
      <c r="O27" s="293">
        <v>2396851.0499999998</v>
      </c>
      <c r="P27" s="292"/>
      <c r="Q27" s="293"/>
      <c r="R27" s="293"/>
      <c r="S27" s="293"/>
      <c r="T27" s="293"/>
      <c r="U27" s="293"/>
      <c r="V27" s="293"/>
      <c r="W27" s="293"/>
      <c r="X27" s="261" t="b">
        <f t="shared" si="10"/>
        <v>1</v>
      </c>
      <c r="Y27" s="262">
        <f t="shared" si="11"/>
        <v>0.55000000000000004</v>
      </c>
      <c r="Z27" s="263" t="b">
        <f t="shared" si="12"/>
        <v>1</v>
      </c>
      <c r="AA27" s="263" t="b">
        <f t="shared" si="13"/>
        <v>1</v>
      </c>
    </row>
    <row r="28" spans="1:27" s="193" customFormat="1" ht="45.75">
      <c r="A28" s="284">
        <v>26</v>
      </c>
      <c r="B28" s="284" t="s">
        <v>56</v>
      </c>
      <c r="C28" s="285" t="s">
        <v>67</v>
      </c>
      <c r="D28" s="286" t="s">
        <v>68</v>
      </c>
      <c r="E28" s="287">
        <v>2402</v>
      </c>
      <c r="F28" s="288" t="s">
        <v>90</v>
      </c>
      <c r="G28" s="284" t="s">
        <v>123</v>
      </c>
      <c r="H28" s="289">
        <v>1.0289999999999999</v>
      </c>
      <c r="I28" s="290" t="s">
        <v>441</v>
      </c>
      <c r="J28" s="291">
        <v>8001543</v>
      </c>
      <c r="K28" s="292">
        <f t="shared" si="8"/>
        <v>4400848.6500000004</v>
      </c>
      <c r="L28" s="293">
        <f t="shared" si="9"/>
        <v>3600694.3499999996</v>
      </c>
      <c r="M28" s="312">
        <v>0.55000000000000004</v>
      </c>
      <c r="N28" s="292">
        <v>0</v>
      </c>
      <c r="O28" s="293">
        <v>4400848.6500000004</v>
      </c>
      <c r="P28" s="292"/>
      <c r="Q28" s="293"/>
      <c r="R28" s="293"/>
      <c r="S28" s="293"/>
      <c r="T28" s="293"/>
      <c r="U28" s="293"/>
      <c r="V28" s="293"/>
      <c r="W28" s="293"/>
      <c r="X28" s="261" t="b">
        <f t="shared" si="10"/>
        <v>1</v>
      </c>
      <c r="Y28" s="262">
        <f t="shared" si="11"/>
        <v>0.55000000000000004</v>
      </c>
      <c r="Z28" s="263" t="b">
        <f t="shared" si="12"/>
        <v>1</v>
      </c>
      <c r="AA28" s="263" t="b">
        <f t="shared" si="13"/>
        <v>1</v>
      </c>
    </row>
    <row r="29" spans="1:27" s="193" customFormat="1" ht="45.75">
      <c r="A29" s="284">
        <v>27</v>
      </c>
      <c r="B29" s="284" t="s">
        <v>57</v>
      </c>
      <c r="C29" s="285" t="s">
        <v>67</v>
      </c>
      <c r="D29" s="286" t="s">
        <v>73</v>
      </c>
      <c r="E29" s="287">
        <v>2416</v>
      </c>
      <c r="F29" s="288" t="s">
        <v>91</v>
      </c>
      <c r="G29" s="284" t="s">
        <v>123</v>
      </c>
      <c r="H29" s="462">
        <v>5.5049999999999999</v>
      </c>
      <c r="I29" s="290" t="s">
        <v>401</v>
      </c>
      <c r="J29" s="291">
        <v>3456000</v>
      </c>
      <c r="K29" s="292">
        <f>ROUNDDOWN(J29*M29,0)</f>
        <v>2764800</v>
      </c>
      <c r="L29" s="293">
        <f>J29-K29</f>
        <v>691200</v>
      </c>
      <c r="M29" s="312">
        <v>0.8</v>
      </c>
      <c r="N29" s="292"/>
      <c r="O29" s="293">
        <f>K29</f>
        <v>2764800</v>
      </c>
      <c r="P29" s="292"/>
      <c r="Q29" s="293"/>
      <c r="R29" s="293"/>
      <c r="S29" s="293"/>
      <c r="T29" s="293"/>
      <c r="U29" s="293"/>
      <c r="V29" s="293"/>
      <c r="W29" s="293"/>
      <c r="X29" s="261" t="b">
        <f t="shared" si="10"/>
        <v>1</v>
      </c>
      <c r="Y29" s="262">
        <f t="shared" si="11"/>
        <v>0.8</v>
      </c>
      <c r="Z29" s="263" t="b">
        <f t="shared" si="12"/>
        <v>1</v>
      </c>
      <c r="AA29" s="263" t="b">
        <f t="shared" si="13"/>
        <v>1</v>
      </c>
    </row>
    <row r="30" spans="1:27" s="193" customFormat="1" ht="23.25">
      <c r="A30" s="284">
        <v>28</v>
      </c>
      <c r="B30" s="284" t="s">
        <v>58</v>
      </c>
      <c r="C30" s="285" t="s">
        <v>67</v>
      </c>
      <c r="D30" s="286" t="s">
        <v>76</v>
      </c>
      <c r="E30" s="287">
        <v>2413</v>
      </c>
      <c r="F30" s="288" t="s">
        <v>92</v>
      </c>
      <c r="G30" s="284" t="s">
        <v>121</v>
      </c>
      <c r="H30" s="289">
        <v>0.70099999999999996</v>
      </c>
      <c r="I30" s="290" t="s">
        <v>400</v>
      </c>
      <c r="J30" s="291">
        <v>6968000</v>
      </c>
      <c r="K30" s="292">
        <f t="shared" si="8"/>
        <v>3484000</v>
      </c>
      <c r="L30" s="293">
        <f t="shared" si="9"/>
        <v>3484000</v>
      </c>
      <c r="M30" s="312">
        <v>0.5</v>
      </c>
      <c r="N30" s="292">
        <v>0</v>
      </c>
      <c r="O30" s="293">
        <v>3484000</v>
      </c>
      <c r="P30" s="292"/>
      <c r="Q30" s="293"/>
      <c r="R30" s="293"/>
      <c r="S30" s="293"/>
      <c r="T30" s="293"/>
      <c r="U30" s="293"/>
      <c r="V30" s="293"/>
      <c r="W30" s="293"/>
      <c r="X30" s="261" t="b">
        <f t="shared" si="10"/>
        <v>1</v>
      </c>
      <c r="Y30" s="262">
        <f t="shared" si="11"/>
        <v>0.5</v>
      </c>
      <c r="Z30" s="263" t="b">
        <f t="shared" si="12"/>
        <v>1</v>
      </c>
      <c r="AA30" s="263" t="b">
        <f t="shared" si="13"/>
        <v>1</v>
      </c>
    </row>
    <row r="31" spans="1:27" s="193" customFormat="1" ht="23.25">
      <c r="A31" s="284">
        <v>29</v>
      </c>
      <c r="B31" s="284" t="s">
        <v>59</v>
      </c>
      <c r="C31" s="285" t="s">
        <v>67</v>
      </c>
      <c r="D31" s="286" t="s">
        <v>77</v>
      </c>
      <c r="E31" s="287">
        <v>2409</v>
      </c>
      <c r="F31" s="288" t="s">
        <v>93</v>
      </c>
      <c r="G31" s="284" t="s">
        <v>123</v>
      </c>
      <c r="H31" s="289">
        <v>2.2709999999999999</v>
      </c>
      <c r="I31" s="290" t="s">
        <v>405</v>
      </c>
      <c r="J31" s="291">
        <v>2100412</v>
      </c>
      <c r="K31" s="292">
        <v>1575309</v>
      </c>
      <c r="L31" s="293">
        <v>525103</v>
      </c>
      <c r="M31" s="312">
        <v>0.75</v>
      </c>
      <c r="N31" s="292"/>
      <c r="O31" s="293">
        <v>1575309</v>
      </c>
      <c r="P31" s="292"/>
      <c r="Q31" s="293"/>
      <c r="R31" s="293"/>
      <c r="S31" s="293"/>
      <c r="T31" s="293"/>
      <c r="U31" s="293"/>
      <c r="V31" s="293"/>
      <c r="W31" s="293"/>
      <c r="X31" s="261" t="b">
        <f t="shared" si="10"/>
        <v>1</v>
      </c>
      <c r="Y31" s="262">
        <f t="shared" si="11"/>
        <v>0.75</v>
      </c>
      <c r="Z31" s="263" t="b">
        <f t="shared" si="12"/>
        <v>1</v>
      </c>
      <c r="AA31" s="263" t="b">
        <f t="shared" si="13"/>
        <v>1</v>
      </c>
    </row>
    <row r="32" spans="1:27" s="193" customFormat="1" ht="34.5">
      <c r="A32" s="284">
        <v>30</v>
      </c>
      <c r="B32" s="284" t="s">
        <v>60</v>
      </c>
      <c r="C32" s="285" t="s">
        <v>67</v>
      </c>
      <c r="D32" s="286" t="s">
        <v>78</v>
      </c>
      <c r="E32" s="287">
        <v>2417</v>
      </c>
      <c r="F32" s="288" t="s">
        <v>94</v>
      </c>
      <c r="G32" s="284" t="s">
        <v>123</v>
      </c>
      <c r="H32" s="289">
        <v>1.2969999999999999</v>
      </c>
      <c r="I32" s="290" t="s">
        <v>406</v>
      </c>
      <c r="J32" s="291">
        <v>2673522</v>
      </c>
      <c r="K32" s="292">
        <v>1871465</v>
      </c>
      <c r="L32" s="293">
        <v>802057</v>
      </c>
      <c r="M32" s="312">
        <v>0.7</v>
      </c>
      <c r="N32" s="292"/>
      <c r="O32" s="293">
        <v>1871465</v>
      </c>
      <c r="P32" s="292"/>
      <c r="Q32" s="293"/>
      <c r="R32" s="293"/>
      <c r="S32" s="293"/>
      <c r="T32" s="293"/>
      <c r="U32" s="293"/>
      <c r="V32" s="293"/>
      <c r="W32" s="293"/>
      <c r="X32" s="261" t="b">
        <f t="shared" si="10"/>
        <v>1</v>
      </c>
      <c r="Y32" s="262">
        <f t="shared" si="11"/>
        <v>0.7</v>
      </c>
      <c r="Z32" s="263" t="b">
        <f t="shared" si="12"/>
        <v>1</v>
      </c>
      <c r="AA32" s="263" t="b">
        <f t="shared" si="13"/>
        <v>1</v>
      </c>
    </row>
    <row r="33" spans="1:27" s="193" customFormat="1" ht="23.25">
      <c r="A33" s="284">
        <v>31</v>
      </c>
      <c r="B33" s="284" t="s">
        <v>61</v>
      </c>
      <c r="C33" s="284" t="s">
        <v>67</v>
      </c>
      <c r="D33" s="286" t="s">
        <v>75</v>
      </c>
      <c r="E33" s="287">
        <v>2403</v>
      </c>
      <c r="F33" s="288" t="s">
        <v>95</v>
      </c>
      <c r="G33" s="284" t="s">
        <v>403</v>
      </c>
      <c r="H33" s="289">
        <v>0.98599999999999999</v>
      </c>
      <c r="I33" s="290" t="s">
        <v>404</v>
      </c>
      <c r="J33" s="291">
        <v>1202046</v>
      </c>
      <c r="K33" s="291">
        <v>661125.30000000005</v>
      </c>
      <c r="L33" s="293">
        <v>540920.69999999995</v>
      </c>
      <c r="M33" s="312">
        <f>K33/J33*100%</f>
        <v>0.55000000000000004</v>
      </c>
      <c r="N33" s="292">
        <v>0</v>
      </c>
      <c r="O33" s="292">
        <v>661125.30000000005</v>
      </c>
      <c r="P33" s="292"/>
      <c r="Q33" s="293"/>
      <c r="R33" s="293"/>
      <c r="S33" s="293"/>
      <c r="T33" s="293"/>
      <c r="U33" s="293"/>
      <c r="V33" s="293"/>
      <c r="W33" s="293"/>
      <c r="X33" s="261" t="b">
        <f t="shared" si="10"/>
        <v>1</v>
      </c>
      <c r="Y33" s="262">
        <f t="shared" si="11"/>
        <v>0.55000000000000004</v>
      </c>
      <c r="Z33" s="263" t="b">
        <f t="shared" si="12"/>
        <v>1</v>
      </c>
      <c r="AA33" s="263" t="b">
        <f t="shared" si="13"/>
        <v>1</v>
      </c>
    </row>
    <row r="34" spans="1:27" s="193" customFormat="1" ht="22.5">
      <c r="A34" s="284">
        <v>32</v>
      </c>
      <c r="B34" s="284" t="s">
        <v>62</v>
      </c>
      <c r="C34" s="284" t="s">
        <v>67</v>
      </c>
      <c r="D34" s="286" t="s">
        <v>79</v>
      </c>
      <c r="E34" s="294">
        <v>2464011</v>
      </c>
      <c r="F34" s="288" t="s">
        <v>96</v>
      </c>
      <c r="G34" s="284" t="s">
        <v>123</v>
      </c>
      <c r="H34" s="289">
        <v>0.26</v>
      </c>
      <c r="I34" s="290" t="s">
        <v>402</v>
      </c>
      <c r="J34" s="291">
        <v>2199653</v>
      </c>
      <c r="K34" s="292">
        <f t="shared" si="8"/>
        <v>1099826.5</v>
      </c>
      <c r="L34" s="293">
        <f t="shared" si="9"/>
        <v>1099826.5</v>
      </c>
      <c r="M34" s="312">
        <v>0.5</v>
      </c>
      <c r="N34" s="292">
        <v>0</v>
      </c>
      <c r="O34" s="293">
        <v>1099826.5</v>
      </c>
      <c r="P34" s="292"/>
      <c r="Q34" s="293"/>
      <c r="R34" s="293"/>
      <c r="S34" s="293"/>
      <c r="T34" s="293"/>
      <c r="U34" s="293"/>
      <c r="V34" s="293"/>
      <c r="W34" s="293"/>
      <c r="X34" s="261" t="b">
        <f t="shared" si="10"/>
        <v>1</v>
      </c>
      <c r="Y34" s="262">
        <f t="shared" si="11"/>
        <v>0.5</v>
      </c>
      <c r="Z34" s="263" t="b">
        <f t="shared" si="12"/>
        <v>1</v>
      </c>
      <c r="AA34" s="263" t="b">
        <f t="shared" si="13"/>
        <v>1</v>
      </c>
    </row>
    <row r="35" spans="1:27" s="118" customFormat="1" ht="23.25">
      <c r="A35" s="264">
        <v>33</v>
      </c>
      <c r="B35" s="264" t="s">
        <v>63</v>
      </c>
      <c r="C35" s="264" t="s">
        <v>66</v>
      </c>
      <c r="D35" s="279" t="s">
        <v>80</v>
      </c>
      <c r="E35" s="272">
        <v>2470011</v>
      </c>
      <c r="F35" s="281" t="s">
        <v>97</v>
      </c>
      <c r="G35" s="264" t="s">
        <v>123</v>
      </c>
      <c r="H35" s="282">
        <v>0.83299999999999996</v>
      </c>
      <c r="I35" s="283" t="s">
        <v>865</v>
      </c>
      <c r="J35" s="273">
        <v>10441417</v>
      </c>
      <c r="K35" s="270">
        <f t="shared" si="8"/>
        <v>5220708.5</v>
      </c>
      <c r="L35" s="269">
        <f t="shared" si="9"/>
        <v>5220708.5</v>
      </c>
      <c r="M35" s="311">
        <v>0.5</v>
      </c>
      <c r="N35" s="270">
        <v>0</v>
      </c>
      <c r="O35" s="270">
        <v>1566212.5</v>
      </c>
      <c r="P35" s="269">
        <v>3654496</v>
      </c>
      <c r="Q35" s="269"/>
      <c r="R35" s="269"/>
      <c r="S35" s="269"/>
      <c r="T35" s="269"/>
      <c r="U35" s="269"/>
      <c r="V35" s="269"/>
      <c r="W35" s="269"/>
      <c r="X35" s="261" t="b">
        <f t="shared" si="10"/>
        <v>1</v>
      </c>
      <c r="Y35" s="262">
        <f t="shared" si="11"/>
        <v>0.5</v>
      </c>
      <c r="Z35" s="263" t="b">
        <f t="shared" si="12"/>
        <v>1</v>
      </c>
      <c r="AA35" s="263" t="b">
        <f t="shared" si="13"/>
        <v>1</v>
      </c>
    </row>
    <row r="36" spans="1:27" s="193" customFormat="1" ht="23.25">
      <c r="A36" s="284">
        <v>34</v>
      </c>
      <c r="B36" s="284" t="s">
        <v>64</v>
      </c>
      <c r="C36" s="284" t="s">
        <v>67</v>
      </c>
      <c r="D36" s="286" t="s">
        <v>74</v>
      </c>
      <c r="E36" s="462">
        <v>2415</v>
      </c>
      <c r="F36" s="288" t="s">
        <v>98</v>
      </c>
      <c r="G36" s="284" t="s">
        <v>123</v>
      </c>
      <c r="H36" s="289">
        <v>1.1890000000000001</v>
      </c>
      <c r="I36" s="290" t="s">
        <v>437</v>
      </c>
      <c r="J36" s="291">
        <v>3855685</v>
      </c>
      <c r="K36" s="292">
        <f t="shared" si="8"/>
        <v>1927842.5</v>
      </c>
      <c r="L36" s="293">
        <f t="shared" si="9"/>
        <v>1927842.5</v>
      </c>
      <c r="M36" s="312">
        <v>0.5</v>
      </c>
      <c r="N36" s="292">
        <v>0</v>
      </c>
      <c r="O36" s="292">
        <v>1927842.5</v>
      </c>
      <c r="P36" s="292"/>
      <c r="Q36" s="293"/>
      <c r="R36" s="293"/>
      <c r="S36" s="293"/>
      <c r="T36" s="293"/>
      <c r="U36" s="293"/>
      <c r="V36" s="293"/>
      <c r="W36" s="293"/>
      <c r="X36" s="261" t="b">
        <f t="shared" si="10"/>
        <v>1</v>
      </c>
      <c r="Y36" s="262">
        <f t="shared" si="11"/>
        <v>0.5</v>
      </c>
      <c r="Z36" s="263" t="b">
        <f t="shared" si="12"/>
        <v>1</v>
      </c>
      <c r="AA36" s="263" t="b">
        <f t="shared" si="13"/>
        <v>1</v>
      </c>
    </row>
    <row r="37" spans="1:27" s="193" customFormat="1" ht="23.25">
      <c r="A37" s="284">
        <v>35</v>
      </c>
      <c r="B37" s="295" t="s">
        <v>65</v>
      </c>
      <c r="C37" s="295" t="s">
        <v>67</v>
      </c>
      <c r="D37" s="296" t="s">
        <v>835</v>
      </c>
      <c r="E37" s="297">
        <v>2414</v>
      </c>
      <c r="F37" s="298" t="s">
        <v>99</v>
      </c>
      <c r="G37" s="295" t="s">
        <v>123</v>
      </c>
      <c r="H37" s="299">
        <v>0.39300000000000002</v>
      </c>
      <c r="I37" s="489" t="s">
        <v>857</v>
      </c>
      <c r="J37" s="300">
        <v>966000</v>
      </c>
      <c r="K37" s="301">
        <v>483000</v>
      </c>
      <c r="L37" s="302">
        <f t="shared" ref="L37:L38" si="14">J37-K37</f>
        <v>483000</v>
      </c>
      <c r="M37" s="313">
        <v>0.5</v>
      </c>
      <c r="N37" s="301">
        <v>0</v>
      </c>
      <c r="O37" s="301">
        <v>483000</v>
      </c>
      <c r="P37" s="301"/>
      <c r="Q37" s="302"/>
      <c r="R37" s="293"/>
      <c r="S37" s="293"/>
      <c r="T37" s="293"/>
      <c r="U37" s="293"/>
      <c r="V37" s="293"/>
      <c r="W37" s="293"/>
      <c r="X37" s="261" t="b">
        <f t="shared" ref="X37:X39" si="15">K37=SUM(N37:W37)</f>
        <v>1</v>
      </c>
      <c r="Y37" s="262">
        <f t="shared" ref="Y37:Y39" si="16">ROUND(K37/J37,4)</f>
        <v>0.5</v>
      </c>
      <c r="Z37" s="263" t="b">
        <f t="shared" ref="Z37:Z39" si="17">Y37=M37</f>
        <v>1</v>
      </c>
      <c r="AA37" s="263" t="b">
        <f t="shared" ref="AA37:AA39" si="18">J37=K37+L37</f>
        <v>1</v>
      </c>
    </row>
    <row r="38" spans="1:27" s="193" customFormat="1" ht="90">
      <c r="A38" s="264" t="s">
        <v>846</v>
      </c>
      <c r="B38" s="264" t="s">
        <v>364</v>
      </c>
      <c r="C38" s="278" t="s">
        <v>66</v>
      </c>
      <c r="D38" s="264" t="s">
        <v>840</v>
      </c>
      <c r="E38" s="277">
        <v>2411</v>
      </c>
      <c r="F38" s="386" t="s">
        <v>375</v>
      </c>
      <c r="G38" s="264" t="s">
        <v>123</v>
      </c>
      <c r="H38" s="282">
        <v>3.9260000000000002</v>
      </c>
      <c r="I38" s="283" t="s">
        <v>866</v>
      </c>
      <c r="J38" s="393">
        <v>8822283</v>
      </c>
      <c r="K38" s="388">
        <v>4467273.639999995</v>
      </c>
      <c r="L38" s="389">
        <f t="shared" si="14"/>
        <v>4355009.360000005</v>
      </c>
      <c r="M38" s="311">
        <v>0.55000000000000004</v>
      </c>
      <c r="N38" s="388">
        <v>0</v>
      </c>
      <c r="O38" s="388">
        <v>3190000.0000000005</v>
      </c>
      <c r="P38" s="389">
        <v>1277273.6399999948</v>
      </c>
      <c r="Q38" s="302"/>
      <c r="R38" s="293"/>
      <c r="S38" s="293"/>
      <c r="T38" s="293"/>
      <c r="U38" s="293"/>
      <c r="V38" s="293"/>
      <c r="W38" s="293"/>
      <c r="X38" s="261" t="b">
        <f t="shared" si="15"/>
        <v>1</v>
      </c>
      <c r="Y38" s="262">
        <f t="shared" si="16"/>
        <v>0.50639999999999996</v>
      </c>
      <c r="Z38" s="263" t="b">
        <f t="shared" si="17"/>
        <v>0</v>
      </c>
      <c r="AA38" s="263" t="b">
        <f t="shared" si="18"/>
        <v>1</v>
      </c>
    </row>
    <row r="39" spans="1:27" s="193" customFormat="1" ht="33.75">
      <c r="A39" s="264" t="s">
        <v>847</v>
      </c>
      <c r="B39" s="264" t="s">
        <v>365</v>
      </c>
      <c r="C39" s="278" t="s">
        <v>66</v>
      </c>
      <c r="D39" s="264" t="s">
        <v>841</v>
      </c>
      <c r="E39" s="277">
        <v>2463011</v>
      </c>
      <c r="F39" s="386" t="s">
        <v>376</v>
      </c>
      <c r="G39" s="264" t="s">
        <v>123</v>
      </c>
      <c r="H39" s="282">
        <v>1.1830000000000001</v>
      </c>
      <c r="I39" s="283" t="s">
        <v>430</v>
      </c>
      <c r="J39" s="393">
        <v>6491552.5199999996</v>
      </c>
      <c r="K39" s="388">
        <v>1750000</v>
      </c>
      <c r="L39" s="389">
        <v>4741552.5199999996</v>
      </c>
      <c r="M39" s="311">
        <v>0.5</v>
      </c>
      <c r="N39" s="388">
        <v>0</v>
      </c>
      <c r="O39" s="389">
        <v>1750000</v>
      </c>
      <c r="P39" s="389">
        <v>0</v>
      </c>
      <c r="Q39" s="302"/>
      <c r="R39" s="293"/>
      <c r="S39" s="293"/>
      <c r="T39" s="293"/>
      <c r="U39" s="293"/>
      <c r="V39" s="293"/>
      <c r="W39" s="293"/>
      <c r="X39" s="261" t="b">
        <f t="shared" si="15"/>
        <v>1</v>
      </c>
      <c r="Y39" s="262">
        <f t="shared" si="16"/>
        <v>0.26960000000000001</v>
      </c>
      <c r="Z39" s="263" t="b">
        <f t="shared" si="17"/>
        <v>0</v>
      </c>
      <c r="AA39" s="263" t="b">
        <f t="shared" si="18"/>
        <v>1</v>
      </c>
    </row>
    <row r="40" spans="1:27" s="193" customFormat="1" ht="45">
      <c r="A40" s="264" t="s">
        <v>848</v>
      </c>
      <c r="B40" s="264" t="s">
        <v>366</v>
      </c>
      <c r="C40" s="278" t="s">
        <v>66</v>
      </c>
      <c r="D40" s="264" t="s">
        <v>842</v>
      </c>
      <c r="E40" s="277">
        <v>2475011</v>
      </c>
      <c r="F40" s="386" t="s">
        <v>377</v>
      </c>
      <c r="G40" s="264" t="s">
        <v>123</v>
      </c>
      <c r="H40" s="282">
        <v>0.63600000000000001</v>
      </c>
      <c r="I40" s="283" t="s">
        <v>852</v>
      </c>
      <c r="J40" s="393">
        <v>10179273</v>
      </c>
      <c r="K40" s="388">
        <v>3053782</v>
      </c>
      <c r="L40" s="389">
        <f t="shared" ref="L40:L41" si="19">J40-K40</f>
        <v>7125491</v>
      </c>
      <c r="M40" s="311">
        <v>0.5</v>
      </c>
      <c r="N40" s="388">
        <v>0</v>
      </c>
      <c r="O40" s="388">
        <v>3053782</v>
      </c>
      <c r="P40" s="389">
        <v>0</v>
      </c>
      <c r="Q40" s="302"/>
      <c r="R40" s="293"/>
      <c r="S40" s="293"/>
      <c r="T40" s="293"/>
      <c r="U40" s="293"/>
      <c r="V40" s="293"/>
      <c r="W40" s="293"/>
      <c r="X40" s="261" t="b">
        <f t="shared" ref="X40" si="20">K40=SUM(N40:W40)</f>
        <v>1</v>
      </c>
      <c r="Y40" s="262">
        <f t="shared" ref="Y40" si="21">ROUND(K40/J40,4)</f>
        <v>0.3</v>
      </c>
      <c r="Z40" s="263" t="b">
        <f t="shared" ref="Z40" si="22">Y40=M40</f>
        <v>0</v>
      </c>
      <c r="AA40" s="263" t="b">
        <f t="shared" ref="AA40" si="23">J40=K40+L40</f>
        <v>1</v>
      </c>
    </row>
    <row r="41" spans="1:27" s="193" customFormat="1" ht="45">
      <c r="A41" s="284" t="s">
        <v>844</v>
      </c>
      <c r="B41" s="390" t="s">
        <v>367</v>
      </c>
      <c r="C41" s="284" t="s">
        <v>67</v>
      </c>
      <c r="D41" s="390" t="s">
        <v>843</v>
      </c>
      <c r="E41" s="329">
        <v>2413</v>
      </c>
      <c r="F41" s="330" t="s">
        <v>378</v>
      </c>
      <c r="G41" s="284" t="s">
        <v>123</v>
      </c>
      <c r="H41" s="289">
        <v>2.4649999999999999</v>
      </c>
      <c r="I41" s="290" t="s">
        <v>400</v>
      </c>
      <c r="J41" s="394">
        <v>5876000</v>
      </c>
      <c r="K41" s="391">
        <v>950892.19000001252</v>
      </c>
      <c r="L41" s="392">
        <f t="shared" si="19"/>
        <v>4925107.8099999875</v>
      </c>
      <c r="M41" s="312">
        <v>0.5</v>
      </c>
      <c r="N41" s="391">
        <v>0</v>
      </c>
      <c r="O41" s="392">
        <v>950892.19000001252</v>
      </c>
      <c r="P41" s="389"/>
      <c r="Q41" s="302"/>
      <c r="R41" s="293"/>
      <c r="S41" s="293"/>
      <c r="T41" s="293"/>
      <c r="U41" s="293"/>
      <c r="V41" s="293"/>
      <c r="W41" s="293"/>
      <c r="X41" s="261" t="b">
        <f t="shared" si="10"/>
        <v>1</v>
      </c>
      <c r="Y41" s="262">
        <f t="shared" si="11"/>
        <v>0.1618</v>
      </c>
      <c r="Z41" s="263" t="b">
        <f t="shared" si="12"/>
        <v>0</v>
      </c>
      <c r="AA41" s="263" t="b">
        <f t="shared" si="13"/>
        <v>1</v>
      </c>
    </row>
    <row r="42" spans="1:27" ht="20.100000000000001" customHeight="1">
      <c r="A42" s="438" t="s">
        <v>42</v>
      </c>
      <c r="B42" s="439"/>
      <c r="C42" s="439"/>
      <c r="D42" s="439"/>
      <c r="E42" s="439"/>
      <c r="F42" s="439"/>
      <c r="G42" s="440"/>
      <c r="H42" s="303">
        <f>SUM(H3:H41)</f>
        <v>78.227000000000032</v>
      </c>
      <c r="I42" s="304" t="s">
        <v>13</v>
      </c>
      <c r="J42" s="293">
        <f>SUM(J3:J41)</f>
        <v>329154707.00999999</v>
      </c>
      <c r="K42" s="293">
        <f>SUM(K3:K41)</f>
        <v>161239927.06999999</v>
      </c>
      <c r="L42" s="293">
        <f>SUM(L3:L41)</f>
        <v>167914779.93999994</v>
      </c>
      <c r="M42" s="312" t="s">
        <v>13</v>
      </c>
      <c r="N42" s="293">
        <f>SUM(N3:N41)</f>
        <v>22374806.900000002</v>
      </c>
      <c r="O42" s="293">
        <f t="shared" ref="O42:W42" si="24">SUM(O3:O41)</f>
        <v>91891130.770000011</v>
      </c>
      <c r="P42" s="293">
        <f t="shared" si="24"/>
        <v>36471592.93999999</v>
      </c>
      <c r="Q42" s="293">
        <f t="shared" si="24"/>
        <v>10502396.460000001</v>
      </c>
      <c r="R42" s="293">
        <f t="shared" si="24"/>
        <v>0</v>
      </c>
      <c r="S42" s="293">
        <f t="shared" si="24"/>
        <v>0</v>
      </c>
      <c r="T42" s="293">
        <f t="shared" si="24"/>
        <v>0</v>
      </c>
      <c r="U42" s="293">
        <f t="shared" si="24"/>
        <v>0</v>
      </c>
      <c r="V42" s="293">
        <f t="shared" si="24"/>
        <v>0</v>
      </c>
      <c r="W42" s="293">
        <f t="shared" si="24"/>
        <v>0</v>
      </c>
      <c r="X42" s="249" t="b">
        <f t="shared" ref="X42" si="25">K42=SUM(N42:W42)</f>
        <v>1</v>
      </c>
      <c r="Y42" s="305">
        <f t="shared" ref="Y42:Y44" si="26">ROUND(K42/J42,4)</f>
        <v>0.4899</v>
      </c>
      <c r="Z42" s="306" t="s">
        <v>13</v>
      </c>
      <c r="AA42" s="306" t="b">
        <f t="shared" ref="AA42:AA44" si="27">J42=K42+L42</f>
        <v>1</v>
      </c>
    </row>
    <row r="43" spans="1:27" s="118" customFormat="1" ht="20.100000000000001" customHeight="1">
      <c r="A43" s="435" t="s">
        <v>35</v>
      </c>
      <c r="B43" s="436"/>
      <c r="C43" s="436"/>
      <c r="D43" s="436"/>
      <c r="E43" s="436"/>
      <c r="F43" s="436"/>
      <c r="G43" s="437"/>
      <c r="H43" s="307">
        <f>SUMIF($C$3:$C$41,"K",H3:H41)</f>
        <v>40.686000000000007</v>
      </c>
      <c r="I43" s="308" t="s">
        <v>13</v>
      </c>
      <c r="J43" s="269">
        <f>SUMIF($C$3:$C$41,"K",J3:J41)</f>
        <v>172260768.49000001</v>
      </c>
      <c r="K43" s="269">
        <f>SUMIF($C$3:$C$41,"K",K3:K41)</f>
        <v>81142693.339999989</v>
      </c>
      <c r="L43" s="269">
        <f>SUMIF($C$3:$C$41,"K",L3:L41)</f>
        <v>91118075.149999991</v>
      </c>
      <c r="M43" s="311" t="s">
        <v>13</v>
      </c>
      <c r="N43" s="269">
        <f>SUMIF($C$3:$C$41,"K",N3:N41)</f>
        <v>22374806.900000002</v>
      </c>
      <c r="O43" s="269">
        <f t="shared" ref="O43:W43" si="28">SUMIF($C$3:$C$41,"K",O3:O41)</f>
        <v>34082645.079999998</v>
      </c>
      <c r="P43" s="269">
        <f t="shared" si="28"/>
        <v>16682844.9</v>
      </c>
      <c r="Q43" s="269">
        <f t="shared" si="28"/>
        <v>8002396.46</v>
      </c>
      <c r="R43" s="269">
        <f t="shared" si="28"/>
        <v>0</v>
      </c>
      <c r="S43" s="269">
        <f t="shared" si="28"/>
        <v>0</v>
      </c>
      <c r="T43" s="269">
        <f t="shared" si="28"/>
        <v>0</v>
      </c>
      <c r="U43" s="269">
        <f t="shared" si="28"/>
        <v>0</v>
      </c>
      <c r="V43" s="269">
        <f t="shared" si="28"/>
        <v>0</v>
      </c>
      <c r="W43" s="269">
        <f t="shared" si="28"/>
        <v>0</v>
      </c>
      <c r="X43" s="261" t="b">
        <f t="shared" ref="X43" si="29">K43=SUM(N43:W43)</f>
        <v>1</v>
      </c>
      <c r="Y43" s="262">
        <f t="shared" ref="Y43" si="30">ROUND(K43/J43,4)</f>
        <v>0.47099999999999997</v>
      </c>
      <c r="Z43" s="263" t="s">
        <v>13</v>
      </c>
      <c r="AA43" s="263" t="b">
        <f t="shared" ref="AA43" si="31">J43=K43+L43</f>
        <v>1</v>
      </c>
    </row>
    <row r="44" spans="1:27" ht="20.100000000000001" customHeight="1">
      <c r="A44" s="438" t="s">
        <v>36</v>
      </c>
      <c r="B44" s="439"/>
      <c r="C44" s="439"/>
      <c r="D44" s="439"/>
      <c r="E44" s="439"/>
      <c r="F44" s="439"/>
      <c r="G44" s="440"/>
      <c r="H44" s="303">
        <f>SUMIF($C$3:$C$41,"N",H3:H41)</f>
        <v>25.437000000000005</v>
      </c>
      <c r="I44" s="304" t="s">
        <v>13</v>
      </c>
      <c r="J44" s="293">
        <f>SUMIF($C$3:$C$41,"N",J3:J41)</f>
        <v>69572166</v>
      </c>
      <c r="K44" s="293">
        <f>SUMIF($C$3:$C$41,"N",K3:K41)</f>
        <v>39113491.190000013</v>
      </c>
      <c r="L44" s="293">
        <f>SUMIF($C$3:$C$41,"N",L3:L41)</f>
        <v>30458674.809999984</v>
      </c>
      <c r="M44" s="312" t="s">
        <v>13</v>
      </c>
      <c r="N44" s="293">
        <f>SUMIF($C$3:$C$41,"N",N3:N41)</f>
        <v>0</v>
      </c>
      <c r="O44" s="293">
        <f t="shared" ref="O44:W44" si="32">SUMIF($C$3:$C$41,"N",O3:O41)</f>
        <v>39113491.190000013</v>
      </c>
      <c r="P44" s="293">
        <f t="shared" si="32"/>
        <v>0</v>
      </c>
      <c r="Q44" s="293">
        <f t="shared" si="32"/>
        <v>0</v>
      </c>
      <c r="R44" s="293">
        <f t="shared" si="32"/>
        <v>0</v>
      </c>
      <c r="S44" s="293">
        <f t="shared" si="32"/>
        <v>0</v>
      </c>
      <c r="T44" s="293">
        <f t="shared" si="32"/>
        <v>0</v>
      </c>
      <c r="U44" s="293">
        <f t="shared" si="32"/>
        <v>0</v>
      </c>
      <c r="V44" s="293">
        <f t="shared" si="32"/>
        <v>0</v>
      </c>
      <c r="W44" s="293">
        <f t="shared" si="32"/>
        <v>0</v>
      </c>
      <c r="X44" s="249" t="b">
        <f>K44=SUM(N44:W44)</f>
        <v>1</v>
      </c>
      <c r="Y44" s="305">
        <f t="shared" si="26"/>
        <v>0.56220000000000003</v>
      </c>
      <c r="Z44" s="306" t="s">
        <v>13</v>
      </c>
      <c r="AA44" s="306" t="b">
        <f t="shared" si="27"/>
        <v>1</v>
      </c>
    </row>
    <row r="45" spans="1:27" s="118" customFormat="1" ht="20.100000000000001" customHeight="1">
      <c r="A45" s="435" t="s">
        <v>37</v>
      </c>
      <c r="B45" s="436"/>
      <c r="C45" s="436"/>
      <c r="D45" s="436"/>
      <c r="E45" s="436"/>
      <c r="F45" s="436"/>
      <c r="G45" s="437"/>
      <c r="H45" s="307">
        <f>SUMIF($C$3:$C$41,"W",H3:H41)</f>
        <v>12.103999999999999</v>
      </c>
      <c r="I45" s="308" t="s">
        <v>13</v>
      </c>
      <c r="J45" s="269">
        <f>SUMIF($C$3:$C$41,"W",J3:J41)</f>
        <v>87321772.519999996</v>
      </c>
      <c r="K45" s="269">
        <f>SUMIF($C$3:$C$41,"W",K3:K41)</f>
        <v>40983742.539999992</v>
      </c>
      <c r="L45" s="269">
        <f>SUMIF($C$18:$C$41,"W",L18:L41)</f>
        <v>46338029.980000004</v>
      </c>
      <c r="M45" s="311" t="s">
        <v>13</v>
      </c>
      <c r="N45" s="269">
        <f>SUMIF($C$3:$C$41,"W",N3:N41)</f>
        <v>0</v>
      </c>
      <c r="O45" s="269">
        <f t="shared" ref="O45:W45" si="33">SUMIF($C$3:$C$41,"W",O3:O41)</f>
        <v>18694994.5</v>
      </c>
      <c r="P45" s="269">
        <f t="shared" si="33"/>
        <v>19788748.039999992</v>
      </c>
      <c r="Q45" s="269">
        <f t="shared" si="33"/>
        <v>2500000</v>
      </c>
      <c r="R45" s="269">
        <f t="shared" si="33"/>
        <v>0</v>
      </c>
      <c r="S45" s="269">
        <f t="shared" si="33"/>
        <v>0</v>
      </c>
      <c r="T45" s="269">
        <f t="shared" si="33"/>
        <v>0</v>
      </c>
      <c r="U45" s="269">
        <f t="shared" si="33"/>
        <v>0</v>
      </c>
      <c r="V45" s="269">
        <f t="shared" si="33"/>
        <v>0</v>
      </c>
      <c r="W45" s="269">
        <f t="shared" si="33"/>
        <v>0</v>
      </c>
      <c r="X45" s="261" t="b">
        <f t="shared" ref="X45" si="34">K45=SUM(N45:W45)</f>
        <v>1</v>
      </c>
      <c r="Y45" s="262">
        <f t="shared" ref="Y45" si="35">ROUND(K45/J45,4)</f>
        <v>0.46929999999999999</v>
      </c>
      <c r="Z45" s="263" t="s">
        <v>13</v>
      </c>
      <c r="AA45" s="263" t="b">
        <f t="shared" ref="AA45" si="36">J45=K45+L45</f>
        <v>1</v>
      </c>
    </row>
    <row r="46" spans="1:27">
      <c r="A46" s="136"/>
      <c r="B46" s="140"/>
      <c r="C46" s="136"/>
      <c r="D46" s="163"/>
      <c r="E46" s="164"/>
      <c r="F46" s="31"/>
      <c r="G46" s="136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</row>
    <row r="47" spans="1:27">
      <c r="A47" s="314" t="s">
        <v>21</v>
      </c>
      <c r="B47" s="141"/>
      <c r="C47" s="137"/>
      <c r="D47" s="29"/>
      <c r="E47" s="137"/>
      <c r="F47" s="29"/>
      <c r="G47" s="137"/>
      <c r="J47" s="149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"/>
      <c r="AA47" s="37"/>
    </row>
    <row r="48" spans="1:27">
      <c r="A48" s="315" t="s">
        <v>22</v>
      </c>
      <c r="B48" s="142"/>
      <c r="C48" s="138"/>
      <c r="D48" s="30"/>
      <c r="E48" s="138"/>
      <c r="F48" s="30"/>
      <c r="G48" s="138"/>
      <c r="J48" s="151"/>
      <c r="N48" s="395"/>
      <c r="O48" s="395"/>
      <c r="P48" s="11"/>
      <c r="Q48" s="11"/>
      <c r="R48" s="11"/>
      <c r="S48" s="11"/>
      <c r="T48" s="11"/>
      <c r="U48" s="11"/>
      <c r="V48" s="11"/>
      <c r="W48" s="11"/>
      <c r="X48" s="1"/>
    </row>
    <row r="49" spans="1:10">
      <c r="A49" s="314" t="s">
        <v>40</v>
      </c>
      <c r="B49" s="140"/>
      <c r="C49" s="136"/>
      <c r="D49" s="163"/>
      <c r="E49" s="164"/>
      <c r="F49" s="31"/>
      <c r="G49" s="136"/>
      <c r="J49" s="151"/>
    </row>
    <row r="50" spans="1:10">
      <c r="A50" s="316" t="s">
        <v>849</v>
      </c>
      <c r="B50" s="140"/>
      <c r="C50" s="136"/>
      <c r="D50" s="163"/>
      <c r="E50" s="164"/>
      <c r="F50" s="31"/>
      <c r="G50" s="136"/>
      <c r="J50" s="151"/>
    </row>
    <row r="51" spans="1:10">
      <c r="A51" s="316" t="s">
        <v>845</v>
      </c>
      <c r="B51" s="143"/>
      <c r="C51" s="139"/>
      <c r="D51" s="34"/>
      <c r="E51" s="165"/>
      <c r="F51" s="32"/>
      <c r="G51" s="139"/>
      <c r="J51" s="151"/>
    </row>
  </sheetData>
  <mergeCells count="18">
    <mergeCell ref="M1:M2"/>
    <mergeCell ref="N1:W1"/>
    <mergeCell ref="H1:H2"/>
    <mergeCell ref="I1:I2"/>
    <mergeCell ref="J1:J2"/>
    <mergeCell ref="K1:K2"/>
    <mergeCell ref="A45:G45"/>
    <mergeCell ref="A44:G44"/>
    <mergeCell ref="A43:G43"/>
    <mergeCell ref="A42:G42"/>
    <mergeCell ref="L1:L2"/>
    <mergeCell ref="D1:D2"/>
    <mergeCell ref="E1:E2"/>
    <mergeCell ref="A1:A2"/>
    <mergeCell ref="B1:B2"/>
    <mergeCell ref="C1:C2"/>
    <mergeCell ref="F1:F2"/>
    <mergeCell ref="G1:G2"/>
  </mergeCells>
  <conditionalFormatting sqref="X3:AA43">
    <cfRule type="cellIs" dxfId="70" priority="15" operator="equal">
      <formula>FALSE</formula>
    </cfRule>
  </conditionalFormatting>
  <conditionalFormatting sqref="X3:Z43">
    <cfRule type="containsText" dxfId="69" priority="13" operator="containsText" text="fałsz">
      <formula>NOT(ISERROR(SEARCH("fałsz",X3)))</formula>
    </cfRule>
  </conditionalFormatting>
  <conditionalFormatting sqref="AA47">
    <cfRule type="cellIs" dxfId="68" priority="12" operator="equal">
      <formula>FALSE</formula>
    </cfRule>
  </conditionalFormatting>
  <conditionalFormatting sqref="AA47">
    <cfRule type="cellIs" dxfId="67" priority="11" operator="equal">
      <formula>FALSE</formula>
    </cfRule>
  </conditionalFormatting>
  <conditionalFormatting sqref="Y45:Z45">
    <cfRule type="cellIs" dxfId="66" priority="10" operator="equal">
      <formula>FALSE</formula>
    </cfRule>
  </conditionalFormatting>
  <conditionalFormatting sqref="X45">
    <cfRule type="cellIs" dxfId="65" priority="9" operator="equal">
      <formula>FALSE</formula>
    </cfRule>
  </conditionalFormatting>
  <conditionalFormatting sqref="X45:Z45">
    <cfRule type="containsText" dxfId="64" priority="8" operator="containsText" text="fałsz">
      <formula>NOT(ISERROR(SEARCH("fałsz",X45)))</formula>
    </cfRule>
  </conditionalFormatting>
  <conditionalFormatting sqref="AA45">
    <cfRule type="cellIs" dxfId="63" priority="7" operator="equal">
      <formula>FALSE</formula>
    </cfRule>
  </conditionalFormatting>
  <conditionalFormatting sqref="AA45">
    <cfRule type="cellIs" dxfId="62" priority="6" operator="equal">
      <formula>FALSE</formula>
    </cfRule>
  </conditionalFormatting>
  <conditionalFormatting sqref="Y44:Z44">
    <cfRule type="cellIs" dxfId="61" priority="5" operator="equal">
      <formula>FALSE</formula>
    </cfRule>
  </conditionalFormatting>
  <conditionalFormatting sqref="X44">
    <cfRule type="cellIs" dxfId="60" priority="4" operator="equal">
      <formula>FALSE</formula>
    </cfRule>
  </conditionalFormatting>
  <conditionalFormatting sqref="X44:Z44">
    <cfRule type="containsText" dxfId="59" priority="3" operator="containsText" text="fałsz">
      <formula>NOT(ISERROR(SEARCH("fałsz",X44)))</formula>
    </cfRule>
  </conditionalFormatting>
  <conditionalFormatting sqref="AA44">
    <cfRule type="cellIs" dxfId="58" priority="2" operator="equal">
      <formula>FALSE</formula>
    </cfRule>
  </conditionalFormatting>
  <conditionalFormatting sqref="AA44">
    <cfRule type="cellIs" dxfId="57" priority="1" operator="equal">
      <formula>FALSE</formula>
    </cfRule>
  </conditionalFormatting>
  <dataValidations count="4">
    <dataValidation type="custom" allowBlank="1" showInputMessage="1" showErrorMessage="1" sqref="B3:B16 D3:D16 J3:J16 F3:F16 D18:D36 B38:B41 F18:F41 D38:D41 J18:J32 J34:J41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1">
      <formula1>"B,P,R"</formula1>
    </dataValidation>
    <dataValidation type="list" allowBlank="1" showInputMessage="1" showErrorMessage="1" sqref="C38:C41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92"/>
  <sheetViews>
    <sheetView showGridLines="0" view="pageBreakPreview" topLeftCell="A65" zoomScale="85" zoomScaleNormal="100" zoomScaleSheetLayoutView="85" workbookViewId="0">
      <selection activeCell="AA74" sqref="AA74"/>
    </sheetView>
  </sheetViews>
  <sheetFormatPr defaultColWidth="9.140625" defaultRowHeight="21"/>
  <cols>
    <col min="1" max="1" width="9.5703125" style="166" customWidth="1"/>
    <col min="2" max="3" width="15.7109375" style="1" customWidth="1"/>
    <col min="4" max="4" width="33.28515625" style="225" customWidth="1"/>
    <col min="5" max="5" width="15.7109375" style="153" customWidth="1"/>
    <col min="6" max="6" width="15.7109375" style="121" customWidth="1"/>
    <col min="7" max="7" width="55.5703125" style="121" customWidth="1"/>
    <col min="8" max="9" width="15.7109375" style="36" customWidth="1"/>
    <col min="10" max="10" width="15.7109375" style="229" customWidth="1"/>
    <col min="11" max="11" width="17" style="129" customWidth="1"/>
    <col min="12" max="12" width="15.7109375" style="121" customWidth="1"/>
    <col min="13" max="13" width="18.5703125" style="121" customWidth="1"/>
    <col min="14" max="14" width="11.28515625" style="130" customWidth="1"/>
    <col min="15" max="16" width="15.7109375" style="121" customWidth="1"/>
    <col min="17" max="17" width="15.7109375" style="127" customWidth="1"/>
    <col min="18" max="23" width="15.7109375" style="121" customWidth="1"/>
    <col min="24" max="24" width="15.7109375" style="222" customWidth="1"/>
    <col min="25" max="27" width="15.7109375" style="128" customWidth="1"/>
    <col min="28" max="28" width="15.7109375" style="121" customWidth="1"/>
    <col min="29" max="16384" width="9.140625" style="121"/>
  </cols>
  <sheetData>
    <row r="1" spans="1:28" s="220" customFormat="1" ht="25.15" customHeight="1">
      <c r="A1" s="446" t="s">
        <v>3</v>
      </c>
      <c r="B1" s="446" t="s">
        <v>4</v>
      </c>
      <c r="C1" s="490" t="s">
        <v>41</v>
      </c>
      <c r="D1" s="491" t="s">
        <v>5</v>
      </c>
      <c r="E1" s="491" t="s">
        <v>30</v>
      </c>
      <c r="F1" s="491" t="s">
        <v>14</v>
      </c>
      <c r="G1" s="446" t="s">
        <v>6</v>
      </c>
      <c r="H1" s="446" t="s">
        <v>23</v>
      </c>
      <c r="I1" s="446" t="s">
        <v>7</v>
      </c>
      <c r="J1" s="446" t="s">
        <v>24</v>
      </c>
      <c r="K1" s="446" t="s">
        <v>8</v>
      </c>
      <c r="L1" s="446" t="s">
        <v>16</v>
      </c>
      <c r="M1" s="491" t="s">
        <v>12</v>
      </c>
      <c r="N1" s="446" t="s">
        <v>10</v>
      </c>
      <c r="O1" s="446" t="s">
        <v>11</v>
      </c>
      <c r="P1" s="446"/>
      <c r="Q1" s="446"/>
      <c r="R1" s="446"/>
      <c r="S1" s="446"/>
      <c r="T1" s="446"/>
      <c r="U1" s="446"/>
      <c r="V1" s="446"/>
      <c r="W1" s="446"/>
      <c r="X1" s="446"/>
      <c r="Y1" s="492"/>
      <c r="Z1" s="492"/>
      <c r="AA1" s="492"/>
      <c r="AB1" s="493"/>
    </row>
    <row r="2" spans="1:28" s="220" customFormat="1" ht="20.100000000000001" customHeight="1" thickBot="1">
      <c r="A2" s="494"/>
      <c r="B2" s="446"/>
      <c r="C2" s="495"/>
      <c r="D2" s="496"/>
      <c r="E2" s="497"/>
      <c r="F2" s="496"/>
      <c r="G2" s="446"/>
      <c r="H2" s="446"/>
      <c r="I2" s="446"/>
      <c r="J2" s="446"/>
      <c r="K2" s="446"/>
      <c r="L2" s="446"/>
      <c r="M2" s="496"/>
      <c r="N2" s="446"/>
      <c r="O2" s="412">
        <v>2019</v>
      </c>
      <c r="P2" s="412">
        <v>2020</v>
      </c>
      <c r="Q2" s="412">
        <v>2021</v>
      </c>
      <c r="R2" s="412">
        <v>2022</v>
      </c>
      <c r="S2" s="412">
        <v>2023</v>
      </c>
      <c r="T2" s="412">
        <v>2024</v>
      </c>
      <c r="U2" s="412">
        <v>2025</v>
      </c>
      <c r="V2" s="412">
        <v>2026</v>
      </c>
      <c r="W2" s="412">
        <v>2027</v>
      </c>
      <c r="X2" s="412">
        <v>2028</v>
      </c>
      <c r="Y2" s="492" t="s">
        <v>26</v>
      </c>
      <c r="Z2" s="492" t="s">
        <v>27</v>
      </c>
      <c r="AA2" s="492" t="s">
        <v>28</v>
      </c>
      <c r="AB2" s="221" t="s">
        <v>29</v>
      </c>
    </row>
    <row r="3" spans="1:28" s="124" customFormat="1" ht="45.75" thickTop="1">
      <c r="A3" s="240">
        <v>1</v>
      </c>
      <c r="B3" s="167" t="s">
        <v>277</v>
      </c>
      <c r="C3" s="400" t="s">
        <v>100</v>
      </c>
      <c r="D3" s="223" t="s">
        <v>291</v>
      </c>
      <c r="E3" s="498">
        <v>2408021</v>
      </c>
      <c r="F3" s="123" t="s">
        <v>292</v>
      </c>
      <c r="G3" s="120" t="s">
        <v>293</v>
      </c>
      <c r="H3" s="204" t="s">
        <v>123</v>
      </c>
      <c r="I3" s="167">
        <v>0.442</v>
      </c>
      <c r="J3" s="120" t="s">
        <v>294</v>
      </c>
      <c r="K3" s="401">
        <v>5710088.2000000002</v>
      </c>
      <c r="L3" s="401">
        <v>2711714.5</v>
      </c>
      <c r="M3" s="401">
        <v>2998373.7</v>
      </c>
      <c r="N3" s="402">
        <f>L3/K3</f>
        <v>0.47489888159696025</v>
      </c>
      <c r="O3" s="239">
        <v>200000</v>
      </c>
      <c r="P3" s="239">
        <v>592173</v>
      </c>
      <c r="Q3" s="239">
        <v>1919541.5</v>
      </c>
      <c r="R3" s="239"/>
      <c r="S3" s="239"/>
      <c r="T3" s="239"/>
      <c r="U3" s="239"/>
      <c r="V3" s="239"/>
      <c r="W3" s="239"/>
      <c r="X3" s="239"/>
      <c r="Y3" s="499" t="b">
        <f t="shared" ref="Y3:Y19" si="0">L3=SUM(O3:X3)</f>
        <v>1</v>
      </c>
      <c r="Z3" s="500">
        <f t="shared" ref="Z3:Z19" si="1">ROUND(L3/K3,4)</f>
        <v>0.47489999999999999</v>
      </c>
      <c r="AA3" s="501" t="b">
        <f t="shared" ref="AA3:AA19" si="2">Z3=N3</f>
        <v>0</v>
      </c>
      <c r="AB3" s="501" t="b">
        <f t="shared" ref="AB3:AB19" si="3">K3=L3+M3</f>
        <v>1</v>
      </c>
    </row>
    <row r="4" spans="1:28" ht="45">
      <c r="A4" s="208">
        <v>2</v>
      </c>
      <c r="B4" s="168" t="s">
        <v>278</v>
      </c>
      <c r="C4" s="195" t="s">
        <v>100</v>
      </c>
      <c r="D4" s="224" t="s">
        <v>169</v>
      </c>
      <c r="E4" s="502">
        <v>2406042</v>
      </c>
      <c r="F4" s="125" t="s">
        <v>295</v>
      </c>
      <c r="G4" s="119" t="s">
        <v>296</v>
      </c>
      <c r="H4" s="205" t="s">
        <v>121</v>
      </c>
      <c r="I4" s="168">
        <v>5.335</v>
      </c>
      <c r="J4" s="119" t="s">
        <v>297</v>
      </c>
      <c r="K4" s="403">
        <v>9676011.4900000002</v>
      </c>
      <c r="L4" s="403">
        <v>6773208.04</v>
      </c>
      <c r="M4" s="403">
        <v>2902803.45</v>
      </c>
      <c r="N4" s="404">
        <v>0.7</v>
      </c>
      <c r="O4" s="206">
        <v>173907.3</v>
      </c>
      <c r="P4" s="206">
        <v>2001731.9</v>
      </c>
      <c r="Q4" s="206">
        <v>2579091.9</v>
      </c>
      <c r="R4" s="206">
        <v>2018476.94</v>
      </c>
      <c r="S4" s="206"/>
      <c r="T4" s="206"/>
      <c r="U4" s="206"/>
      <c r="V4" s="206"/>
      <c r="W4" s="206"/>
      <c r="X4" s="206"/>
      <c r="Y4" s="499" t="b">
        <f t="shared" si="0"/>
        <v>1</v>
      </c>
      <c r="Z4" s="500">
        <f t="shared" si="1"/>
        <v>0.7</v>
      </c>
      <c r="AA4" s="501" t="b">
        <f t="shared" si="2"/>
        <v>1</v>
      </c>
      <c r="AB4" s="501" t="b">
        <f t="shared" si="3"/>
        <v>1</v>
      </c>
    </row>
    <row r="5" spans="1:28" ht="45">
      <c r="A5" s="208">
        <v>3</v>
      </c>
      <c r="B5" s="168" t="s">
        <v>279</v>
      </c>
      <c r="C5" s="195" t="s">
        <v>100</v>
      </c>
      <c r="D5" s="224" t="s">
        <v>298</v>
      </c>
      <c r="E5" s="502">
        <v>2415031</v>
      </c>
      <c r="F5" s="125" t="s">
        <v>299</v>
      </c>
      <c r="G5" s="119" t="s">
        <v>300</v>
      </c>
      <c r="H5" s="218" t="s">
        <v>125</v>
      </c>
      <c r="I5" s="168">
        <v>1.159</v>
      </c>
      <c r="J5" s="119" t="s">
        <v>301</v>
      </c>
      <c r="K5" s="403">
        <v>5188738.8099999996</v>
      </c>
      <c r="L5" s="403">
        <v>2853806.34</v>
      </c>
      <c r="M5" s="403">
        <v>2334932.4699999997</v>
      </c>
      <c r="N5" s="404">
        <v>0.55000000000000004</v>
      </c>
      <c r="O5" s="206">
        <v>397597.2</v>
      </c>
      <c r="P5" s="206">
        <v>1342064.3500000001</v>
      </c>
      <c r="Q5" s="206">
        <v>1114144.79</v>
      </c>
      <c r="R5" s="206"/>
      <c r="S5" s="206"/>
      <c r="T5" s="206"/>
      <c r="U5" s="206"/>
      <c r="V5" s="206"/>
      <c r="W5" s="206"/>
      <c r="X5" s="206"/>
      <c r="Y5" s="499" t="b">
        <f t="shared" si="0"/>
        <v>1</v>
      </c>
      <c r="Z5" s="500">
        <f t="shared" si="1"/>
        <v>0.55000000000000004</v>
      </c>
      <c r="AA5" s="501" t="b">
        <f t="shared" si="2"/>
        <v>1</v>
      </c>
      <c r="AB5" s="501" t="b">
        <f t="shared" si="3"/>
        <v>1</v>
      </c>
    </row>
    <row r="6" spans="1:28" ht="45">
      <c r="A6" s="208">
        <v>4</v>
      </c>
      <c r="B6" s="168" t="s">
        <v>280</v>
      </c>
      <c r="C6" s="195" t="s">
        <v>100</v>
      </c>
      <c r="D6" s="224" t="s">
        <v>302</v>
      </c>
      <c r="E6" s="502">
        <v>2415052</v>
      </c>
      <c r="F6" s="125" t="s">
        <v>299</v>
      </c>
      <c r="G6" s="119" t="s">
        <v>303</v>
      </c>
      <c r="H6" s="205" t="s">
        <v>123</v>
      </c>
      <c r="I6" s="168">
        <v>1.758</v>
      </c>
      <c r="J6" s="119" t="s">
        <v>838</v>
      </c>
      <c r="K6" s="403">
        <v>5760400</v>
      </c>
      <c r="L6" s="403">
        <v>4021779.3</v>
      </c>
      <c r="M6" s="403">
        <v>1738620.7000000002</v>
      </c>
      <c r="N6" s="404">
        <v>0.7</v>
      </c>
      <c r="O6" s="206">
        <v>14000</v>
      </c>
      <c r="P6" s="206">
        <v>686000</v>
      </c>
      <c r="Q6" s="206">
        <v>3321779.3</v>
      </c>
      <c r="R6" s="206"/>
      <c r="S6" s="206"/>
      <c r="T6" s="206"/>
      <c r="U6" s="206"/>
      <c r="V6" s="206"/>
      <c r="W6" s="206"/>
      <c r="X6" s="206"/>
      <c r="Y6" s="499" t="b">
        <f t="shared" si="0"/>
        <v>1</v>
      </c>
      <c r="Z6" s="500">
        <f t="shared" si="1"/>
        <v>0.69820000000000004</v>
      </c>
      <c r="AA6" s="501" t="b">
        <f t="shared" si="2"/>
        <v>0</v>
      </c>
      <c r="AB6" s="501" t="b">
        <f t="shared" si="3"/>
        <v>1</v>
      </c>
    </row>
    <row r="7" spans="1:28" ht="45">
      <c r="A7" s="208">
        <v>5</v>
      </c>
      <c r="B7" s="168" t="s">
        <v>281</v>
      </c>
      <c r="C7" s="195" t="s">
        <v>100</v>
      </c>
      <c r="D7" s="224" t="s">
        <v>305</v>
      </c>
      <c r="E7" s="502">
        <v>2402082</v>
      </c>
      <c r="F7" s="125" t="s">
        <v>306</v>
      </c>
      <c r="G7" s="119" t="s">
        <v>307</v>
      </c>
      <c r="H7" s="205" t="s">
        <v>123</v>
      </c>
      <c r="I7" s="168">
        <v>0.42199999999999999</v>
      </c>
      <c r="J7" s="119" t="s">
        <v>308</v>
      </c>
      <c r="K7" s="403">
        <v>1955714.45</v>
      </c>
      <c r="L7" s="403">
        <v>977857.22</v>
      </c>
      <c r="M7" s="403">
        <v>977857.23</v>
      </c>
      <c r="N7" s="404">
        <v>0.5</v>
      </c>
      <c r="O7" s="206">
        <v>28057.5</v>
      </c>
      <c r="P7" s="206">
        <v>50000</v>
      </c>
      <c r="Q7" s="206">
        <v>541038.5</v>
      </c>
      <c r="R7" s="206">
        <v>358761.22</v>
      </c>
      <c r="S7" s="206"/>
      <c r="T7" s="206"/>
      <c r="U7" s="206"/>
      <c r="V7" s="206"/>
      <c r="W7" s="206"/>
      <c r="X7" s="206"/>
      <c r="Y7" s="499" t="b">
        <f t="shared" si="0"/>
        <v>1</v>
      </c>
      <c r="Z7" s="500">
        <f t="shared" si="1"/>
        <v>0.5</v>
      </c>
      <c r="AA7" s="501" t="b">
        <f t="shared" si="2"/>
        <v>1</v>
      </c>
      <c r="AB7" s="501" t="b">
        <f t="shared" si="3"/>
        <v>1</v>
      </c>
    </row>
    <row r="8" spans="1:28" ht="60">
      <c r="A8" s="208">
        <v>6</v>
      </c>
      <c r="B8" s="168" t="s">
        <v>282</v>
      </c>
      <c r="C8" s="195" t="s">
        <v>100</v>
      </c>
      <c r="D8" s="224" t="s">
        <v>137</v>
      </c>
      <c r="E8" s="502">
        <v>2416021</v>
      </c>
      <c r="F8" s="125" t="s">
        <v>309</v>
      </c>
      <c r="G8" s="119" t="s">
        <v>310</v>
      </c>
      <c r="H8" s="205" t="s">
        <v>123</v>
      </c>
      <c r="I8" s="168">
        <v>1.091</v>
      </c>
      <c r="J8" s="119" t="s">
        <v>122</v>
      </c>
      <c r="K8" s="403">
        <v>3162281.5300000003</v>
      </c>
      <c r="L8" s="403">
        <v>1581140</v>
      </c>
      <c r="M8" s="403">
        <v>1581141.53</v>
      </c>
      <c r="N8" s="404">
        <v>0.5</v>
      </c>
      <c r="O8" s="206">
        <v>195000</v>
      </c>
      <c r="P8" s="206">
        <v>1386140</v>
      </c>
      <c r="Q8" s="206"/>
      <c r="R8" s="206"/>
      <c r="S8" s="206"/>
      <c r="T8" s="206"/>
      <c r="U8" s="206"/>
      <c r="V8" s="206"/>
      <c r="W8" s="206"/>
      <c r="X8" s="206"/>
      <c r="Y8" s="499" t="b">
        <f t="shared" si="0"/>
        <v>1</v>
      </c>
      <c r="Z8" s="500">
        <f t="shared" si="1"/>
        <v>0.5</v>
      </c>
      <c r="AA8" s="501" t="b">
        <f t="shared" si="2"/>
        <v>1</v>
      </c>
      <c r="AB8" s="501" t="b">
        <f t="shared" si="3"/>
        <v>1</v>
      </c>
    </row>
    <row r="9" spans="1:28" ht="60">
      <c r="A9" s="208">
        <v>7</v>
      </c>
      <c r="B9" s="168" t="s">
        <v>283</v>
      </c>
      <c r="C9" s="195" t="s">
        <v>100</v>
      </c>
      <c r="D9" s="224" t="s">
        <v>161</v>
      </c>
      <c r="E9" s="502">
        <v>2411011</v>
      </c>
      <c r="F9" s="125" t="s">
        <v>311</v>
      </c>
      <c r="G9" s="119" t="s">
        <v>312</v>
      </c>
      <c r="H9" s="218" t="s">
        <v>125</v>
      </c>
      <c r="I9" s="168">
        <v>1.3169999999999999</v>
      </c>
      <c r="J9" s="119" t="s">
        <v>313</v>
      </c>
      <c r="K9" s="403">
        <v>3400729.68</v>
      </c>
      <c r="L9" s="403">
        <v>1700364.84</v>
      </c>
      <c r="M9" s="403">
        <v>1700364.84</v>
      </c>
      <c r="N9" s="404">
        <f>L9/K9</f>
        <v>0.5</v>
      </c>
      <c r="O9" s="206">
        <v>150000</v>
      </c>
      <c r="P9" s="206">
        <v>1124143.3400000001</v>
      </c>
      <c r="Q9" s="206">
        <v>426221.5</v>
      </c>
      <c r="R9" s="206"/>
      <c r="S9" s="206"/>
      <c r="T9" s="206"/>
      <c r="U9" s="206"/>
      <c r="V9" s="206"/>
      <c r="W9" s="206"/>
      <c r="X9" s="206"/>
      <c r="Y9" s="499" t="b">
        <f t="shared" si="0"/>
        <v>1</v>
      </c>
      <c r="Z9" s="500">
        <f t="shared" si="1"/>
        <v>0.5</v>
      </c>
      <c r="AA9" s="501" t="b">
        <f t="shared" si="2"/>
        <v>1</v>
      </c>
      <c r="AB9" s="501" t="b">
        <f t="shared" si="3"/>
        <v>1</v>
      </c>
    </row>
    <row r="10" spans="1:28" ht="45">
      <c r="A10" s="208">
        <v>8</v>
      </c>
      <c r="B10" s="168" t="s">
        <v>284</v>
      </c>
      <c r="C10" s="195" t="s">
        <v>100</v>
      </c>
      <c r="D10" s="224" t="s">
        <v>305</v>
      </c>
      <c r="E10" s="502">
        <v>2402082</v>
      </c>
      <c r="F10" s="125" t="s">
        <v>306</v>
      </c>
      <c r="G10" s="119" t="s">
        <v>314</v>
      </c>
      <c r="H10" s="205" t="s">
        <v>123</v>
      </c>
      <c r="I10" s="168">
        <v>0.94599999999999995</v>
      </c>
      <c r="J10" s="119" t="s">
        <v>304</v>
      </c>
      <c r="K10" s="403">
        <v>784092.93</v>
      </c>
      <c r="L10" s="403">
        <v>392046.46</v>
      </c>
      <c r="M10" s="403">
        <v>392046.47000000003</v>
      </c>
      <c r="N10" s="404">
        <v>0.5</v>
      </c>
      <c r="O10" s="206">
        <v>25000</v>
      </c>
      <c r="P10" s="206">
        <v>268922</v>
      </c>
      <c r="Q10" s="206">
        <v>98124.46</v>
      </c>
      <c r="R10" s="206"/>
      <c r="S10" s="206"/>
      <c r="T10" s="206"/>
      <c r="U10" s="206"/>
      <c r="V10" s="206"/>
      <c r="W10" s="206"/>
      <c r="X10" s="206"/>
      <c r="Y10" s="499" t="b">
        <f t="shared" si="0"/>
        <v>1</v>
      </c>
      <c r="Z10" s="500">
        <f t="shared" si="1"/>
        <v>0.5</v>
      </c>
      <c r="AA10" s="501" t="b">
        <f t="shared" si="2"/>
        <v>1</v>
      </c>
      <c r="AB10" s="501" t="b">
        <f t="shared" si="3"/>
        <v>1</v>
      </c>
    </row>
    <row r="11" spans="1:28" ht="45">
      <c r="A11" s="208">
        <v>9</v>
      </c>
      <c r="B11" s="168" t="s">
        <v>285</v>
      </c>
      <c r="C11" s="195" t="s">
        <v>100</v>
      </c>
      <c r="D11" s="224" t="s">
        <v>103</v>
      </c>
      <c r="E11" s="502">
        <v>2464011</v>
      </c>
      <c r="F11" s="125" t="s">
        <v>315</v>
      </c>
      <c r="G11" s="119" t="s">
        <v>316</v>
      </c>
      <c r="H11" s="205" t="s">
        <v>121</v>
      </c>
      <c r="I11" s="168">
        <v>1.1060000000000001</v>
      </c>
      <c r="J11" s="119" t="s">
        <v>317</v>
      </c>
      <c r="K11" s="403">
        <v>4367854.75</v>
      </c>
      <c r="L11" s="403">
        <v>2183927</v>
      </c>
      <c r="M11" s="403">
        <v>2183927.75</v>
      </c>
      <c r="N11" s="404">
        <v>0.5</v>
      </c>
      <c r="O11" s="206">
        <v>1675000</v>
      </c>
      <c r="P11" s="206">
        <v>508927</v>
      </c>
      <c r="Q11" s="206"/>
      <c r="R11" s="206"/>
      <c r="S11" s="206"/>
      <c r="T11" s="206"/>
      <c r="U11" s="206"/>
      <c r="V11" s="206"/>
      <c r="W11" s="206"/>
      <c r="X11" s="206"/>
      <c r="Y11" s="499" t="b">
        <f t="shared" si="0"/>
        <v>1</v>
      </c>
      <c r="Z11" s="500">
        <f t="shared" si="1"/>
        <v>0.5</v>
      </c>
      <c r="AA11" s="501" t="b">
        <f t="shared" si="2"/>
        <v>1</v>
      </c>
      <c r="AB11" s="501" t="b">
        <f t="shared" si="3"/>
        <v>1</v>
      </c>
    </row>
    <row r="12" spans="1:28" ht="45">
      <c r="A12" s="208">
        <v>10</v>
      </c>
      <c r="B12" s="168" t="s">
        <v>286</v>
      </c>
      <c r="C12" s="195" t="s">
        <v>100</v>
      </c>
      <c r="D12" s="224" t="s">
        <v>137</v>
      </c>
      <c r="E12" s="502">
        <v>2416021</v>
      </c>
      <c r="F12" s="119" t="s">
        <v>309</v>
      </c>
      <c r="G12" s="119" t="s">
        <v>318</v>
      </c>
      <c r="H12" s="205" t="s">
        <v>123</v>
      </c>
      <c r="I12" s="168">
        <v>0.51800000000000002</v>
      </c>
      <c r="J12" s="119" t="s">
        <v>122</v>
      </c>
      <c r="K12" s="403">
        <v>642387.26</v>
      </c>
      <c r="L12" s="403">
        <v>321193</v>
      </c>
      <c r="M12" s="403">
        <v>321194.26</v>
      </c>
      <c r="N12" s="404">
        <v>0.5</v>
      </c>
      <c r="O12" s="206">
        <v>83565</v>
      </c>
      <c r="P12" s="206">
        <v>237628</v>
      </c>
      <c r="Q12" s="206"/>
      <c r="R12" s="206"/>
      <c r="S12" s="206"/>
      <c r="T12" s="206"/>
      <c r="U12" s="206"/>
      <c r="V12" s="206"/>
      <c r="W12" s="206"/>
      <c r="X12" s="206"/>
      <c r="Y12" s="499" t="b">
        <f t="shared" si="0"/>
        <v>1</v>
      </c>
      <c r="Z12" s="500">
        <f t="shared" si="1"/>
        <v>0.5</v>
      </c>
      <c r="AA12" s="501" t="b">
        <f t="shared" si="2"/>
        <v>1</v>
      </c>
      <c r="AB12" s="501" t="b">
        <f t="shared" si="3"/>
        <v>1</v>
      </c>
    </row>
    <row r="13" spans="1:28" ht="45">
      <c r="A13" s="208">
        <v>11</v>
      </c>
      <c r="B13" s="168" t="s">
        <v>287</v>
      </c>
      <c r="C13" s="195" t="s">
        <v>100</v>
      </c>
      <c r="D13" s="224" t="s">
        <v>319</v>
      </c>
      <c r="E13" s="502">
        <v>2409011</v>
      </c>
      <c r="F13" s="125" t="s">
        <v>320</v>
      </c>
      <c r="G13" s="119" t="s">
        <v>321</v>
      </c>
      <c r="H13" s="205" t="s">
        <v>121</v>
      </c>
      <c r="I13" s="168">
        <v>1.0980000000000001</v>
      </c>
      <c r="J13" s="119" t="s">
        <v>322</v>
      </c>
      <c r="K13" s="403">
        <v>4393871.72</v>
      </c>
      <c r="L13" s="403">
        <v>2636323.0299999998</v>
      </c>
      <c r="M13" s="403">
        <v>1757548.69</v>
      </c>
      <c r="N13" s="404">
        <v>0.6</v>
      </c>
      <c r="O13" s="206">
        <v>1993488.5999999999</v>
      </c>
      <c r="P13" s="206">
        <v>642834.43000000005</v>
      </c>
      <c r="Q13" s="206"/>
      <c r="R13" s="206"/>
      <c r="S13" s="206"/>
      <c r="T13" s="206"/>
      <c r="U13" s="206"/>
      <c r="V13" s="206"/>
      <c r="W13" s="206"/>
      <c r="X13" s="206"/>
      <c r="Y13" s="499" t="b">
        <f t="shared" si="0"/>
        <v>1</v>
      </c>
      <c r="Z13" s="500">
        <f t="shared" si="1"/>
        <v>0.6</v>
      </c>
      <c r="AA13" s="501" t="b">
        <f t="shared" si="2"/>
        <v>1</v>
      </c>
      <c r="AB13" s="501" t="b">
        <f t="shared" si="3"/>
        <v>1</v>
      </c>
    </row>
    <row r="14" spans="1:28" ht="30">
      <c r="A14" s="208">
        <v>12</v>
      </c>
      <c r="B14" s="168" t="s">
        <v>288</v>
      </c>
      <c r="C14" s="195" t="s">
        <v>100</v>
      </c>
      <c r="D14" s="224" t="s">
        <v>153</v>
      </c>
      <c r="E14" s="502">
        <v>2415062</v>
      </c>
      <c r="F14" s="119" t="s">
        <v>299</v>
      </c>
      <c r="G14" s="119" t="s">
        <v>323</v>
      </c>
      <c r="H14" s="205" t="s">
        <v>123</v>
      </c>
      <c r="I14" s="168">
        <v>0.223</v>
      </c>
      <c r="J14" s="119" t="s">
        <v>324</v>
      </c>
      <c r="K14" s="403">
        <v>434571.06999999995</v>
      </c>
      <c r="L14" s="403">
        <v>239014.08</v>
      </c>
      <c r="M14" s="403">
        <v>195556.99</v>
      </c>
      <c r="N14" s="404">
        <v>0.55000000000000004</v>
      </c>
      <c r="O14" s="206">
        <v>88000</v>
      </c>
      <c r="P14" s="206">
        <v>151014.07999999999</v>
      </c>
      <c r="Q14" s="206"/>
      <c r="R14" s="206"/>
      <c r="S14" s="206"/>
      <c r="T14" s="206"/>
      <c r="U14" s="206"/>
      <c r="V14" s="206"/>
      <c r="W14" s="206"/>
      <c r="X14" s="206"/>
      <c r="Y14" s="499" t="b">
        <f t="shared" si="0"/>
        <v>1</v>
      </c>
      <c r="Z14" s="500">
        <f t="shared" si="1"/>
        <v>0.55000000000000004</v>
      </c>
      <c r="AA14" s="501" t="b">
        <f t="shared" si="2"/>
        <v>1</v>
      </c>
      <c r="AB14" s="501" t="b">
        <f t="shared" si="3"/>
        <v>1</v>
      </c>
    </row>
    <row r="15" spans="1:28" ht="60">
      <c r="A15" s="208">
        <v>13</v>
      </c>
      <c r="B15" s="168" t="s">
        <v>289</v>
      </c>
      <c r="C15" s="195" t="s">
        <v>100</v>
      </c>
      <c r="D15" s="224" t="s">
        <v>325</v>
      </c>
      <c r="E15" s="502">
        <v>2412042</v>
      </c>
      <c r="F15" s="125" t="s">
        <v>326</v>
      </c>
      <c r="G15" s="119" t="s">
        <v>327</v>
      </c>
      <c r="H15" s="205" t="s">
        <v>123</v>
      </c>
      <c r="I15" s="168">
        <v>0.82</v>
      </c>
      <c r="J15" s="119" t="s">
        <v>328</v>
      </c>
      <c r="K15" s="403">
        <v>2170941.0700000003</v>
      </c>
      <c r="L15" s="403">
        <v>1194017</v>
      </c>
      <c r="M15" s="403">
        <v>976924.0700000003</v>
      </c>
      <c r="N15" s="404">
        <v>0.55000000000000004</v>
      </c>
      <c r="O15" s="206">
        <v>11000</v>
      </c>
      <c r="P15" s="206">
        <v>550000</v>
      </c>
      <c r="Q15" s="206">
        <v>633017</v>
      </c>
      <c r="R15" s="206"/>
      <c r="S15" s="206"/>
      <c r="T15" s="206"/>
      <c r="U15" s="206"/>
      <c r="V15" s="206"/>
      <c r="W15" s="206"/>
      <c r="X15" s="206"/>
      <c r="Y15" s="499" t="b">
        <f t="shared" si="0"/>
        <v>1</v>
      </c>
      <c r="Z15" s="500">
        <f t="shared" si="1"/>
        <v>0.55000000000000004</v>
      </c>
      <c r="AA15" s="501" t="b">
        <f t="shared" si="2"/>
        <v>1</v>
      </c>
      <c r="AB15" s="501" t="b">
        <f t="shared" si="3"/>
        <v>1</v>
      </c>
    </row>
    <row r="16" spans="1:28" ht="45">
      <c r="A16" s="208">
        <v>14</v>
      </c>
      <c r="B16" s="168" t="s">
        <v>290</v>
      </c>
      <c r="C16" s="195" t="s">
        <v>100</v>
      </c>
      <c r="D16" s="224" t="s">
        <v>329</v>
      </c>
      <c r="E16" s="502">
        <v>2413021</v>
      </c>
      <c r="F16" s="125" t="s">
        <v>330</v>
      </c>
      <c r="G16" s="119" t="s">
        <v>331</v>
      </c>
      <c r="H16" s="205" t="s">
        <v>121</v>
      </c>
      <c r="I16" s="168">
        <v>0.627</v>
      </c>
      <c r="J16" s="119" t="s">
        <v>294</v>
      </c>
      <c r="K16" s="403">
        <v>1660061.72</v>
      </c>
      <c r="L16" s="403">
        <v>830030.86</v>
      </c>
      <c r="M16" s="403">
        <v>830030.86</v>
      </c>
      <c r="N16" s="404">
        <v>0.5</v>
      </c>
      <c r="O16" s="206">
        <v>1500</v>
      </c>
      <c r="P16" s="206">
        <v>292049.11</v>
      </c>
      <c r="Q16" s="206">
        <v>536481.75</v>
      </c>
      <c r="R16" s="206"/>
      <c r="S16" s="206"/>
      <c r="T16" s="206"/>
      <c r="U16" s="206"/>
      <c r="V16" s="206"/>
      <c r="W16" s="206"/>
      <c r="X16" s="206"/>
      <c r="Y16" s="499" t="b">
        <f t="shared" si="0"/>
        <v>1</v>
      </c>
      <c r="Z16" s="500">
        <f t="shared" si="1"/>
        <v>0.5</v>
      </c>
      <c r="AA16" s="501" t="b">
        <f t="shared" si="2"/>
        <v>1</v>
      </c>
      <c r="AB16" s="501" t="b">
        <f t="shared" si="3"/>
        <v>1</v>
      </c>
    </row>
    <row r="17" spans="1:28" ht="30" customHeight="1">
      <c r="A17" s="208">
        <v>15</v>
      </c>
      <c r="B17" s="168" t="s">
        <v>274</v>
      </c>
      <c r="C17" s="195" t="s">
        <v>100</v>
      </c>
      <c r="D17" s="224" t="s">
        <v>332</v>
      </c>
      <c r="E17" s="502">
        <v>2401073</v>
      </c>
      <c r="F17" s="125" t="s">
        <v>333</v>
      </c>
      <c r="G17" s="119" t="s">
        <v>334</v>
      </c>
      <c r="H17" s="218" t="s">
        <v>121</v>
      </c>
      <c r="I17" s="168">
        <v>0.17899999999999999</v>
      </c>
      <c r="J17" s="119" t="s">
        <v>128</v>
      </c>
      <c r="K17" s="403">
        <v>978231.23</v>
      </c>
      <c r="L17" s="403">
        <v>393971</v>
      </c>
      <c r="M17" s="403">
        <v>584260.23</v>
      </c>
      <c r="N17" s="404">
        <v>0.4</v>
      </c>
      <c r="O17" s="206">
        <v>25000</v>
      </c>
      <c r="P17" s="206">
        <v>368971</v>
      </c>
      <c r="Q17" s="206"/>
      <c r="R17" s="206"/>
      <c r="S17" s="206"/>
      <c r="T17" s="206"/>
      <c r="U17" s="206"/>
      <c r="V17" s="206"/>
      <c r="W17" s="206"/>
      <c r="X17" s="206"/>
      <c r="Y17" s="499" t="b">
        <f t="shared" si="0"/>
        <v>1</v>
      </c>
      <c r="Z17" s="500">
        <f t="shared" si="1"/>
        <v>0.4027</v>
      </c>
      <c r="AA17" s="501" t="b">
        <f t="shared" si="2"/>
        <v>0</v>
      </c>
      <c r="AB17" s="501" t="b">
        <f t="shared" si="3"/>
        <v>1</v>
      </c>
    </row>
    <row r="18" spans="1:28" ht="54" customHeight="1">
      <c r="A18" s="208">
        <v>16</v>
      </c>
      <c r="B18" s="168" t="s">
        <v>275</v>
      </c>
      <c r="C18" s="195" t="s">
        <v>100</v>
      </c>
      <c r="D18" s="224" t="s">
        <v>335</v>
      </c>
      <c r="E18" s="503">
        <v>2466011</v>
      </c>
      <c r="F18" s="125" t="s">
        <v>336</v>
      </c>
      <c r="G18" s="119" t="s">
        <v>337</v>
      </c>
      <c r="H18" s="205" t="s">
        <v>121</v>
      </c>
      <c r="I18" s="168">
        <v>0.46</v>
      </c>
      <c r="J18" s="119" t="s">
        <v>338</v>
      </c>
      <c r="K18" s="403">
        <v>3993419.3899999997</v>
      </c>
      <c r="L18" s="403">
        <v>1996709.69</v>
      </c>
      <c r="M18" s="403">
        <v>1996709.7</v>
      </c>
      <c r="N18" s="404">
        <v>0.4</v>
      </c>
      <c r="O18" s="206">
        <v>500000</v>
      </c>
      <c r="P18" s="206">
        <v>1496709.69</v>
      </c>
      <c r="Q18" s="206"/>
      <c r="R18" s="206"/>
      <c r="S18" s="206"/>
      <c r="T18" s="206"/>
      <c r="U18" s="206"/>
      <c r="V18" s="206"/>
      <c r="W18" s="206"/>
      <c r="X18" s="206"/>
      <c r="Y18" s="499" t="b">
        <f t="shared" si="0"/>
        <v>1</v>
      </c>
      <c r="Z18" s="500">
        <f t="shared" si="1"/>
        <v>0.5</v>
      </c>
      <c r="AA18" s="501" t="b">
        <f t="shared" si="2"/>
        <v>0</v>
      </c>
      <c r="AB18" s="501" t="b">
        <f t="shared" si="3"/>
        <v>1</v>
      </c>
    </row>
    <row r="19" spans="1:28" ht="30">
      <c r="A19" s="208">
        <v>17</v>
      </c>
      <c r="B19" s="168" t="s">
        <v>276</v>
      </c>
      <c r="C19" s="195" t="s">
        <v>100</v>
      </c>
      <c r="D19" s="224" t="s">
        <v>339</v>
      </c>
      <c r="E19" s="502">
        <v>2402043</v>
      </c>
      <c r="F19" s="125" t="s">
        <v>306</v>
      </c>
      <c r="G19" s="119" t="s">
        <v>340</v>
      </c>
      <c r="H19" s="205" t="s">
        <v>123</v>
      </c>
      <c r="I19" s="168">
        <v>0.54</v>
      </c>
      <c r="J19" s="219" t="s">
        <v>341</v>
      </c>
      <c r="K19" s="405">
        <v>3219620.4</v>
      </c>
      <c r="L19" s="403">
        <v>2527804</v>
      </c>
      <c r="M19" s="405">
        <v>691816.4</v>
      </c>
      <c r="N19" s="404">
        <v>0.78512485509161267</v>
      </c>
      <c r="O19" s="206">
        <v>531497.6</v>
      </c>
      <c r="P19" s="206">
        <v>1996306.4000000001</v>
      </c>
      <c r="Q19" s="406"/>
      <c r="R19" s="206"/>
      <c r="S19" s="206"/>
      <c r="T19" s="206"/>
      <c r="U19" s="206"/>
      <c r="V19" s="206"/>
      <c r="W19" s="206"/>
      <c r="X19" s="206"/>
      <c r="Y19" s="499" t="b">
        <f t="shared" si="0"/>
        <v>1</v>
      </c>
      <c r="Z19" s="500">
        <f t="shared" si="1"/>
        <v>0.78510000000000002</v>
      </c>
      <c r="AA19" s="501" t="b">
        <f t="shared" si="2"/>
        <v>0</v>
      </c>
      <c r="AB19" s="501" t="b">
        <f t="shared" si="3"/>
        <v>1</v>
      </c>
    </row>
    <row r="20" spans="1:28" ht="30.4" customHeight="1">
      <c r="A20" s="210">
        <v>18</v>
      </c>
      <c r="B20" s="504" t="s">
        <v>176</v>
      </c>
      <c r="C20" s="200" t="s">
        <v>67</v>
      </c>
      <c r="D20" s="470" t="s">
        <v>137</v>
      </c>
      <c r="E20" s="505">
        <v>2416021</v>
      </c>
      <c r="F20" s="211" t="s">
        <v>309</v>
      </c>
      <c r="G20" s="506" t="s">
        <v>225</v>
      </c>
      <c r="H20" s="199" t="s">
        <v>121</v>
      </c>
      <c r="I20" s="201">
        <v>0.16400000000000001</v>
      </c>
      <c r="J20" s="226" t="s">
        <v>408</v>
      </c>
      <c r="K20" s="237">
        <v>3870450</v>
      </c>
      <c r="L20" s="202">
        <f>ROUND(K20*N20,2)</f>
        <v>1935225</v>
      </c>
      <c r="M20" s="203">
        <f>K20-L20</f>
        <v>1935225</v>
      </c>
      <c r="N20" s="507">
        <v>0.5</v>
      </c>
      <c r="O20" s="202">
        <v>0</v>
      </c>
      <c r="P20" s="202">
        <v>1935225</v>
      </c>
      <c r="Q20" s="237"/>
      <c r="R20" s="237"/>
      <c r="S20" s="237"/>
      <c r="T20" s="237"/>
      <c r="U20" s="237"/>
      <c r="V20" s="237"/>
      <c r="W20" s="237"/>
      <c r="X20" s="237"/>
      <c r="Y20" s="499" t="b">
        <f t="shared" ref="Y20" si="4">L20=SUM(O20:X20)</f>
        <v>1</v>
      </c>
      <c r="Z20" s="500">
        <f t="shared" ref="Z20" si="5">ROUND(L20/K20,4)</f>
        <v>0.5</v>
      </c>
      <c r="AA20" s="501" t="b">
        <f t="shared" ref="AA20" si="6">Z20=N20</f>
        <v>1</v>
      </c>
      <c r="AB20" s="501" t="b">
        <f t="shared" ref="AB20" si="7">K20=L20+M20</f>
        <v>1</v>
      </c>
    </row>
    <row r="21" spans="1:28" ht="30">
      <c r="A21" s="210">
        <v>19</v>
      </c>
      <c r="B21" s="504" t="s">
        <v>177</v>
      </c>
      <c r="C21" s="200" t="s">
        <v>67</v>
      </c>
      <c r="D21" s="470" t="s">
        <v>138</v>
      </c>
      <c r="E21" s="212">
        <v>2474011</v>
      </c>
      <c r="F21" s="211" t="s">
        <v>409</v>
      </c>
      <c r="G21" s="506" t="s">
        <v>226</v>
      </c>
      <c r="H21" s="199" t="s">
        <v>121</v>
      </c>
      <c r="I21" s="201">
        <v>0.40400000000000003</v>
      </c>
      <c r="J21" s="226" t="s">
        <v>854</v>
      </c>
      <c r="K21" s="237">
        <v>3800895</v>
      </c>
      <c r="L21" s="202">
        <v>2850671</v>
      </c>
      <c r="M21" s="203">
        <v>950224</v>
      </c>
      <c r="N21" s="507">
        <v>0.75</v>
      </c>
      <c r="O21" s="202"/>
      <c r="P21" s="202">
        <v>2850671</v>
      </c>
      <c r="Q21" s="237"/>
      <c r="R21" s="237"/>
      <c r="S21" s="237"/>
      <c r="T21" s="237"/>
      <c r="U21" s="237"/>
      <c r="V21" s="237"/>
      <c r="W21" s="237"/>
      <c r="X21" s="237"/>
      <c r="Y21" s="499" t="b">
        <f t="shared" ref="Y21:Y74" si="8">L21=SUM(O21:X21)</f>
        <v>1</v>
      </c>
      <c r="Z21" s="500">
        <f t="shared" ref="Z21:Z74" si="9">ROUND(L21/K21,4)</f>
        <v>0.75</v>
      </c>
      <c r="AA21" s="501" t="b">
        <f t="shared" ref="AA21:AA74" si="10">Z21=N21</f>
        <v>1</v>
      </c>
      <c r="AB21" s="501" t="b">
        <f t="shared" ref="AB21:AB74" si="11">K21=L21+M21</f>
        <v>1</v>
      </c>
    </row>
    <row r="22" spans="1:28" ht="30">
      <c r="A22" s="210">
        <v>20</v>
      </c>
      <c r="B22" s="504" t="s">
        <v>178</v>
      </c>
      <c r="C22" s="200" t="s">
        <v>67</v>
      </c>
      <c r="D22" s="470" t="s">
        <v>139</v>
      </c>
      <c r="E22" s="505">
        <v>2417152</v>
      </c>
      <c r="F22" s="211" t="s">
        <v>410</v>
      </c>
      <c r="G22" s="506" t="s">
        <v>227</v>
      </c>
      <c r="H22" s="199" t="s">
        <v>123</v>
      </c>
      <c r="I22" s="201">
        <v>1.2889999999999999</v>
      </c>
      <c r="J22" s="226" t="s">
        <v>855</v>
      </c>
      <c r="K22" s="237">
        <v>1277184.77</v>
      </c>
      <c r="L22" s="202">
        <v>766310.86</v>
      </c>
      <c r="M22" s="203">
        <v>510873.91000000003</v>
      </c>
      <c r="N22" s="507">
        <v>0.6</v>
      </c>
      <c r="O22" s="202">
        <v>0</v>
      </c>
      <c r="P22" s="202">
        <v>766310.86</v>
      </c>
      <c r="Q22" s="237"/>
      <c r="R22" s="237"/>
      <c r="S22" s="237"/>
      <c r="T22" s="237"/>
      <c r="U22" s="237"/>
      <c r="V22" s="237"/>
      <c r="W22" s="237"/>
      <c r="X22" s="237"/>
      <c r="Y22" s="499" t="b">
        <f t="shared" si="8"/>
        <v>1</v>
      </c>
      <c r="Z22" s="500">
        <f t="shared" si="9"/>
        <v>0.6</v>
      </c>
      <c r="AA22" s="501" t="b">
        <f t="shared" si="10"/>
        <v>1</v>
      </c>
      <c r="AB22" s="501" t="b">
        <f t="shared" si="11"/>
        <v>1</v>
      </c>
    </row>
    <row r="23" spans="1:28" s="122" customFormat="1" ht="30">
      <c r="A23" s="208">
        <v>21</v>
      </c>
      <c r="B23" s="508" t="s">
        <v>179</v>
      </c>
      <c r="C23" s="195" t="s">
        <v>66</v>
      </c>
      <c r="D23" s="467" t="s">
        <v>140</v>
      </c>
      <c r="E23" s="503">
        <v>2413041</v>
      </c>
      <c r="F23" s="213" t="s">
        <v>330</v>
      </c>
      <c r="G23" s="509" t="s">
        <v>228</v>
      </c>
      <c r="H23" s="194" t="s">
        <v>121</v>
      </c>
      <c r="I23" s="196">
        <v>0.61399999999999999</v>
      </c>
      <c r="J23" s="227" t="s">
        <v>871</v>
      </c>
      <c r="K23" s="206">
        <v>7663897</v>
      </c>
      <c r="L23" s="197">
        <f t="shared" ref="L23:L34" si="12">ROUND(K23*N23,2)</f>
        <v>3831948.5</v>
      </c>
      <c r="M23" s="198">
        <f t="shared" ref="M23:M34" si="13">K23-L23</f>
        <v>3831948.5</v>
      </c>
      <c r="N23" s="404">
        <v>0.5</v>
      </c>
      <c r="O23" s="197">
        <v>0</v>
      </c>
      <c r="P23" s="197">
        <v>363326</v>
      </c>
      <c r="Q23" s="206">
        <v>3468622.5</v>
      </c>
      <c r="R23" s="206"/>
      <c r="S23" s="206"/>
      <c r="T23" s="206"/>
      <c r="U23" s="206"/>
      <c r="V23" s="206"/>
      <c r="W23" s="206"/>
      <c r="X23" s="206"/>
      <c r="Y23" s="499" t="b">
        <f t="shared" si="8"/>
        <v>1</v>
      </c>
      <c r="Z23" s="500">
        <f t="shared" si="9"/>
        <v>0.5</v>
      </c>
      <c r="AA23" s="501" t="b">
        <f t="shared" si="10"/>
        <v>1</v>
      </c>
      <c r="AB23" s="501" t="b">
        <f t="shared" si="11"/>
        <v>1</v>
      </c>
    </row>
    <row r="24" spans="1:28" s="122" customFormat="1" ht="30">
      <c r="A24" s="208">
        <v>22</v>
      </c>
      <c r="B24" s="508" t="s">
        <v>180</v>
      </c>
      <c r="C24" s="195" t="s">
        <v>66</v>
      </c>
      <c r="D24" s="467" t="s">
        <v>141</v>
      </c>
      <c r="E24" s="503">
        <v>2415011</v>
      </c>
      <c r="F24" s="213" t="s">
        <v>299</v>
      </c>
      <c r="G24" s="509" t="s">
        <v>229</v>
      </c>
      <c r="H24" s="194" t="s">
        <v>403</v>
      </c>
      <c r="I24" s="196">
        <v>1.3320000000000001</v>
      </c>
      <c r="J24" s="227" t="s">
        <v>426</v>
      </c>
      <c r="K24" s="206">
        <v>2142985</v>
      </c>
      <c r="L24" s="197">
        <f t="shared" si="12"/>
        <v>1392940.25</v>
      </c>
      <c r="M24" s="198">
        <f t="shared" si="13"/>
        <v>750044.75</v>
      </c>
      <c r="N24" s="404">
        <v>0.65</v>
      </c>
      <c r="O24" s="197">
        <v>0</v>
      </c>
      <c r="P24" s="197">
        <v>464313.2</v>
      </c>
      <c r="Q24" s="197">
        <v>464313.2</v>
      </c>
      <c r="R24" s="197">
        <v>464313.85</v>
      </c>
      <c r="S24" s="206"/>
      <c r="T24" s="206"/>
      <c r="U24" s="206"/>
      <c r="V24" s="206"/>
      <c r="W24" s="206"/>
      <c r="X24" s="206"/>
      <c r="Y24" s="499" t="b">
        <f t="shared" si="8"/>
        <v>1</v>
      </c>
      <c r="Z24" s="500">
        <f t="shared" si="9"/>
        <v>0.65</v>
      </c>
      <c r="AA24" s="501" t="b">
        <f t="shared" si="10"/>
        <v>1</v>
      </c>
      <c r="AB24" s="501" t="b">
        <f t="shared" si="11"/>
        <v>1</v>
      </c>
    </row>
    <row r="25" spans="1:28" ht="30">
      <c r="A25" s="210">
        <v>23</v>
      </c>
      <c r="B25" s="504" t="s">
        <v>182</v>
      </c>
      <c r="C25" s="200" t="s">
        <v>67</v>
      </c>
      <c r="D25" s="470" t="s">
        <v>143</v>
      </c>
      <c r="E25" s="505">
        <v>2406062</v>
      </c>
      <c r="F25" s="211" t="s">
        <v>295</v>
      </c>
      <c r="G25" s="506" t="s">
        <v>231</v>
      </c>
      <c r="H25" s="199" t="s">
        <v>123</v>
      </c>
      <c r="I25" s="201">
        <v>0.41</v>
      </c>
      <c r="J25" s="226" t="s">
        <v>406</v>
      </c>
      <c r="K25" s="237">
        <v>600000</v>
      </c>
      <c r="L25" s="202">
        <f t="shared" si="12"/>
        <v>300000</v>
      </c>
      <c r="M25" s="203">
        <f t="shared" si="13"/>
        <v>300000</v>
      </c>
      <c r="N25" s="507">
        <v>0.5</v>
      </c>
      <c r="O25" s="202">
        <v>0</v>
      </c>
      <c r="P25" s="202">
        <v>300000</v>
      </c>
      <c r="Q25" s="237"/>
      <c r="R25" s="237"/>
      <c r="S25" s="237"/>
      <c r="T25" s="237"/>
      <c r="U25" s="237"/>
      <c r="V25" s="237"/>
      <c r="W25" s="237"/>
      <c r="X25" s="237"/>
      <c r="Y25" s="499" t="b">
        <f t="shared" si="8"/>
        <v>1</v>
      </c>
      <c r="Z25" s="500">
        <f t="shared" si="9"/>
        <v>0.5</v>
      </c>
      <c r="AA25" s="501" t="b">
        <f t="shared" si="10"/>
        <v>1</v>
      </c>
      <c r="AB25" s="501" t="b">
        <f t="shared" si="11"/>
        <v>1</v>
      </c>
    </row>
    <row r="26" spans="1:28" ht="30">
      <c r="A26" s="210">
        <v>24</v>
      </c>
      <c r="B26" s="504" t="s">
        <v>183</v>
      </c>
      <c r="C26" s="200" t="s">
        <v>67</v>
      </c>
      <c r="D26" s="470" t="s">
        <v>144</v>
      </c>
      <c r="E26" s="505">
        <v>2406023</v>
      </c>
      <c r="F26" s="211" t="s">
        <v>295</v>
      </c>
      <c r="G26" s="506" t="s">
        <v>232</v>
      </c>
      <c r="H26" s="199" t="s">
        <v>121</v>
      </c>
      <c r="I26" s="201">
        <v>0.33</v>
      </c>
      <c r="J26" s="226" t="s">
        <v>441</v>
      </c>
      <c r="K26" s="237">
        <v>714638</v>
      </c>
      <c r="L26" s="202">
        <f t="shared" si="12"/>
        <v>500246.6</v>
      </c>
      <c r="M26" s="203">
        <f t="shared" si="13"/>
        <v>214391.40000000002</v>
      </c>
      <c r="N26" s="507">
        <v>0.7</v>
      </c>
      <c r="O26" s="202">
        <v>0</v>
      </c>
      <c r="P26" s="202">
        <v>500246.6</v>
      </c>
      <c r="Q26" s="237"/>
      <c r="R26" s="237"/>
      <c r="S26" s="237"/>
      <c r="T26" s="237"/>
      <c r="U26" s="237"/>
      <c r="V26" s="237"/>
      <c r="W26" s="237"/>
      <c r="X26" s="237"/>
      <c r="Y26" s="499" t="b">
        <f t="shared" si="8"/>
        <v>1</v>
      </c>
      <c r="Z26" s="500">
        <f t="shared" si="9"/>
        <v>0.7</v>
      </c>
      <c r="AA26" s="501" t="b">
        <f t="shared" si="10"/>
        <v>1</v>
      </c>
      <c r="AB26" s="501" t="b">
        <f t="shared" si="11"/>
        <v>1</v>
      </c>
    </row>
    <row r="27" spans="1:28" ht="30">
      <c r="A27" s="210">
        <v>25</v>
      </c>
      <c r="B27" s="504" t="s">
        <v>184</v>
      </c>
      <c r="C27" s="200" t="s">
        <v>67</v>
      </c>
      <c r="D27" s="470" t="s">
        <v>145</v>
      </c>
      <c r="E27" s="505">
        <v>2406082</v>
      </c>
      <c r="F27" s="211" t="s">
        <v>295</v>
      </c>
      <c r="G27" s="506" t="s">
        <v>233</v>
      </c>
      <c r="H27" s="199" t="s">
        <v>123</v>
      </c>
      <c r="I27" s="201">
        <v>1.1819999999999999</v>
      </c>
      <c r="J27" s="226" t="s">
        <v>859</v>
      </c>
      <c r="K27" s="237">
        <v>1950000</v>
      </c>
      <c r="L27" s="202">
        <f t="shared" si="12"/>
        <v>975000</v>
      </c>
      <c r="M27" s="203">
        <f t="shared" si="13"/>
        <v>975000</v>
      </c>
      <c r="N27" s="507">
        <v>0.5</v>
      </c>
      <c r="O27" s="202">
        <v>0</v>
      </c>
      <c r="P27" s="202">
        <v>975000</v>
      </c>
      <c r="Q27" s="237"/>
      <c r="R27" s="237"/>
      <c r="S27" s="237"/>
      <c r="T27" s="237"/>
      <c r="U27" s="237"/>
      <c r="V27" s="237"/>
      <c r="W27" s="237"/>
      <c r="X27" s="237"/>
      <c r="Y27" s="499" t="b">
        <f t="shared" si="8"/>
        <v>1</v>
      </c>
      <c r="Z27" s="500">
        <f t="shared" si="9"/>
        <v>0.5</v>
      </c>
      <c r="AA27" s="501" t="b">
        <f t="shared" si="10"/>
        <v>1</v>
      </c>
      <c r="AB27" s="501" t="b">
        <f t="shared" si="11"/>
        <v>1</v>
      </c>
    </row>
    <row r="28" spans="1:28" ht="30">
      <c r="A28" s="210">
        <v>26</v>
      </c>
      <c r="B28" s="504" t="s">
        <v>185</v>
      </c>
      <c r="C28" s="200" t="s">
        <v>67</v>
      </c>
      <c r="D28" s="470" t="s">
        <v>146</v>
      </c>
      <c r="E28" s="505">
        <v>2417082</v>
      </c>
      <c r="F28" s="211" t="s">
        <v>410</v>
      </c>
      <c r="G28" s="506" t="s">
        <v>234</v>
      </c>
      <c r="H28" s="199" t="s">
        <v>403</v>
      </c>
      <c r="I28" s="201">
        <v>1.19</v>
      </c>
      <c r="J28" s="226" t="s">
        <v>429</v>
      </c>
      <c r="K28" s="237">
        <v>676053.88</v>
      </c>
      <c r="L28" s="202">
        <v>405632.32</v>
      </c>
      <c r="M28" s="203">
        <v>270421.56</v>
      </c>
      <c r="N28" s="507">
        <v>0.6</v>
      </c>
      <c r="O28" s="202">
        <v>0</v>
      </c>
      <c r="P28" s="202">
        <v>405632.32</v>
      </c>
      <c r="Q28" s="237"/>
      <c r="R28" s="237"/>
      <c r="S28" s="237"/>
      <c r="T28" s="237"/>
      <c r="U28" s="237"/>
      <c r="V28" s="237"/>
      <c r="W28" s="237"/>
      <c r="X28" s="237"/>
      <c r="Y28" s="499" t="b">
        <f t="shared" si="8"/>
        <v>1</v>
      </c>
      <c r="Z28" s="500">
        <f t="shared" si="9"/>
        <v>0.6</v>
      </c>
      <c r="AA28" s="501" t="b">
        <f t="shared" si="10"/>
        <v>1</v>
      </c>
      <c r="AB28" s="501" t="b">
        <f t="shared" si="11"/>
        <v>1</v>
      </c>
    </row>
    <row r="29" spans="1:28" ht="30">
      <c r="A29" s="210">
        <v>27</v>
      </c>
      <c r="B29" s="504" t="s">
        <v>186</v>
      </c>
      <c r="C29" s="200" t="s">
        <v>67</v>
      </c>
      <c r="D29" s="470" t="s">
        <v>147</v>
      </c>
      <c r="E29" s="212">
        <v>2462011</v>
      </c>
      <c r="F29" s="211" t="s">
        <v>412</v>
      </c>
      <c r="G29" s="506" t="s">
        <v>235</v>
      </c>
      <c r="H29" s="199" t="s">
        <v>123</v>
      </c>
      <c r="I29" s="201">
        <v>0.7</v>
      </c>
      <c r="J29" s="226" t="s">
        <v>437</v>
      </c>
      <c r="K29" s="237">
        <v>1930507</v>
      </c>
      <c r="L29" s="202">
        <v>1447880</v>
      </c>
      <c r="M29" s="203">
        <v>482627</v>
      </c>
      <c r="N29" s="507">
        <v>0.75</v>
      </c>
      <c r="O29" s="202"/>
      <c r="P29" s="202">
        <v>1447880</v>
      </c>
      <c r="Q29" s="237"/>
      <c r="R29" s="237"/>
      <c r="S29" s="237"/>
      <c r="T29" s="237"/>
      <c r="U29" s="237"/>
      <c r="V29" s="237"/>
      <c r="W29" s="237"/>
      <c r="X29" s="237"/>
      <c r="Y29" s="499" t="b">
        <f t="shared" si="8"/>
        <v>1</v>
      </c>
      <c r="Z29" s="500">
        <f t="shared" si="9"/>
        <v>0.75</v>
      </c>
      <c r="AA29" s="501" t="b">
        <f t="shared" si="10"/>
        <v>1</v>
      </c>
      <c r="AB29" s="501" t="b">
        <f t="shared" si="11"/>
        <v>1</v>
      </c>
    </row>
    <row r="30" spans="1:28" ht="30">
      <c r="A30" s="210">
        <v>28</v>
      </c>
      <c r="B30" s="504" t="s">
        <v>187</v>
      </c>
      <c r="C30" s="200" t="s">
        <v>67</v>
      </c>
      <c r="D30" s="470" t="s">
        <v>148</v>
      </c>
      <c r="E30" s="505">
        <v>2403103</v>
      </c>
      <c r="F30" s="211" t="s">
        <v>411</v>
      </c>
      <c r="G30" s="506" t="s">
        <v>236</v>
      </c>
      <c r="H30" s="199" t="s">
        <v>403</v>
      </c>
      <c r="I30" s="201">
        <v>0.52100000000000002</v>
      </c>
      <c r="J30" s="226" t="s">
        <v>400</v>
      </c>
      <c r="K30" s="237">
        <f>SUM(L30:M30)</f>
        <v>2399057.4900000002</v>
      </c>
      <c r="L30" s="202">
        <v>1799293.11</v>
      </c>
      <c r="M30" s="203">
        <v>599764.38</v>
      </c>
      <c r="N30" s="507">
        <v>0.75</v>
      </c>
      <c r="O30" s="202"/>
      <c r="P30" s="202">
        <v>1799293.11</v>
      </c>
      <c r="Q30" s="237"/>
      <c r="R30" s="237"/>
      <c r="S30" s="237"/>
      <c r="T30" s="237"/>
      <c r="U30" s="237"/>
      <c r="V30" s="237"/>
      <c r="W30" s="237"/>
      <c r="X30" s="237"/>
      <c r="Y30" s="499" t="b">
        <f t="shared" si="8"/>
        <v>1</v>
      </c>
      <c r="Z30" s="500">
        <f t="shared" si="9"/>
        <v>0.75</v>
      </c>
      <c r="AA30" s="501" t="b">
        <f t="shared" si="10"/>
        <v>1</v>
      </c>
      <c r="AB30" s="501" t="b">
        <f t="shared" si="11"/>
        <v>1</v>
      </c>
    </row>
    <row r="31" spans="1:28" ht="45.75" customHeight="1">
      <c r="A31" s="210">
        <v>29</v>
      </c>
      <c r="B31" s="397" t="s">
        <v>188</v>
      </c>
      <c r="C31" s="200" t="s">
        <v>67</v>
      </c>
      <c r="D31" s="470" t="s">
        <v>149</v>
      </c>
      <c r="E31" s="505">
        <v>2407022</v>
      </c>
      <c r="F31" s="211" t="s">
        <v>413</v>
      </c>
      <c r="G31" s="506" t="s">
        <v>237</v>
      </c>
      <c r="H31" s="199" t="s">
        <v>121</v>
      </c>
      <c r="I31" s="201">
        <v>0.32600000000000001</v>
      </c>
      <c r="J31" s="226" t="s">
        <v>431</v>
      </c>
      <c r="K31" s="237">
        <v>535608.32999999996</v>
      </c>
      <c r="L31" s="202">
        <v>267804.15999999997</v>
      </c>
      <c r="M31" s="203">
        <v>267804.17</v>
      </c>
      <c r="N31" s="507">
        <v>0.5</v>
      </c>
      <c r="O31" s="202">
        <v>0</v>
      </c>
      <c r="P31" s="202">
        <v>267804.15999999997</v>
      </c>
      <c r="Q31" s="237"/>
      <c r="R31" s="237"/>
      <c r="S31" s="237"/>
      <c r="T31" s="237"/>
      <c r="U31" s="237"/>
      <c r="V31" s="237"/>
      <c r="W31" s="237"/>
      <c r="X31" s="237"/>
      <c r="Y31" s="499" t="b">
        <f t="shared" si="8"/>
        <v>1</v>
      </c>
      <c r="Z31" s="500">
        <f t="shared" si="9"/>
        <v>0.5</v>
      </c>
      <c r="AA31" s="501" t="b">
        <f t="shared" si="10"/>
        <v>1</v>
      </c>
      <c r="AB31" s="501" t="b">
        <f t="shared" si="11"/>
        <v>1</v>
      </c>
    </row>
    <row r="32" spans="1:28" s="122" customFormat="1" ht="60">
      <c r="A32" s="208">
        <v>30</v>
      </c>
      <c r="B32" s="508" t="s">
        <v>189</v>
      </c>
      <c r="C32" s="195" t="s">
        <v>66</v>
      </c>
      <c r="D32" s="467" t="s">
        <v>150</v>
      </c>
      <c r="E32" s="503">
        <v>2415092</v>
      </c>
      <c r="F32" s="213" t="s">
        <v>299</v>
      </c>
      <c r="G32" s="509" t="s">
        <v>238</v>
      </c>
      <c r="H32" s="194" t="s">
        <v>123</v>
      </c>
      <c r="I32" s="196">
        <v>0.65100000000000002</v>
      </c>
      <c r="J32" s="227" t="s">
        <v>430</v>
      </c>
      <c r="K32" s="197">
        <v>3102041</v>
      </c>
      <c r="L32" s="197">
        <f>P32+Q32</f>
        <v>1551020.5</v>
      </c>
      <c r="M32" s="198">
        <f t="shared" si="13"/>
        <v>1551020.5</v>
      </c>
      <c r="N32" s="404">
        <v>0.5</v>
      </c>
      <c r="O32" s="197">
        <v>0</v>
      </c>
      <c r="P32" s="206">
        <v>551020.5</v>
      </c>
      <c r="Q32" s="206">
        <v>1000000</v>
      </c>
      <c r="R32" s="206"/>
      <c r="S32" s="206"/>
      <c r="T32" s="206"/>
      <c r="U32" s="206"/>
      <c r="V32" s="206"/>
      <c r="W32" s="206"/>
      <c r="X32" s="206"/>
      <c r="Y32" s="499" t="b">
        <f t="shared" si="8"/>
        <v>1</v>
      </c>
      <c r="Z32" s="500">
        <f t="shared" si="9"/>
        <v>0.5</v>
      </c>
      <c r="AA32" s="501" t="b">
        <f t="shared" si="10"/>
        <v>1</v>
      </c>
      <c r="AB32" s="501" t="b">
        <f t="shared" si="11"/>
        <v>1</v>
      </c>
    </row>
    <row r="33" spans="1:28" ht="30">
      <c r="A33" s="210">
        <v>31</v>
      </c>
      <c r="B33" s="504" t="s">
        <v>190</v>
      </c>
      <c r="C33" s="200" t="s">
        <v>67</v>
      </c>
      <c r="D33" s="470" t="s">
        <v>151</v>
      </c>
      <c r="E33" s="505">
        <v>2403082</v>
      </c>
      <c r="F33" s="211" t="s">
        <v>411</v>
      </c>
      <c r="G33" s="506" t="s">
        <v>239</v>
      </c>
      <c r="H33" s="199" t="s">
        <v>123</v>
      </c>
      <c r="I33" s="201">
        <v>0.61699999999999999</v>
      </c>
      <c r="J33" s="226" t="s">
        <v>423</v>
      </c>
      <c r="K33" s="237">
        <v>2141400</v>
      </c>
      <c r="L33" s="202">
        <f t="shared" si="12"/>
        <v>1177770</v>
      </c>
      <c r="M33" s="203">
        <f t="shared" si="13"/>
        <v>963630</v>
      </c>
      <c r="N33" s="507">
        <v>0.55000000000000004</v>
      </c>
      <c r="O33" s="202">
        <v>0</v>
      </c>
      <c r="P33" s="202">
        <v>1177770</v>
      </c>
      <c r="Q33" s="237"/>
      <c r="R33" s="237"/>
      <c r="S33" s="237"/>
      <c r="T33" s="237"/>
      <c r="U33" s="237"/>
      <c r="V33" s="237"/>
      <c r="W33" s="237"/>
      <c r="X33" s="237"/>
      <c r="Y33" s="499" t="b">
        <f t="shared" si="8"/>
        <v>1</v>
      </c>
      <c r="Z33" s="500">
        <f t="shared" si="9"/>
        <v>0.55000000000000004</v>
      </c>
      <c r="AA33" s="501" t="b">
        <f t="shared" si="10"/>
        <v>1</v>
      </c>
      <c r="AB33" s="501" t="b">
        <f t="shared" si="11"/>
        <v>1</v>
      </c>
    </row>
    <row r="34" spans="1:28" ht="30">
      <c r="A34" s="210">
        <v>32</v>
      </c>
      <c r="B34" s="504" t="s">
        <v>191</v>
      </c>
      <c r="C34" s="200" t="s">
        <v>67</v>
      </c>
      <c r="D34" s="470" t="s">
        <v>152</v>
      </c>
      <c r="E34" s="505">
        <v>2414011</v>
      </c>
      <c r="F34" s="211" t="s">
        <v>414</v>
      </c>
      <c r="G34" s="506" t="s">
        <v>240</v>
      </c>
      <c r="H34" s="199" t="s">
        <v>121</v>
      </c>
      <c r="I34" s="201">
        <v>0.65900000000000003</v>
      </c>
      <c r="J34" s="226" t="s">
        <v>442</v>
      </c>
      <c r="K34" s="237">
        <v>1591489</v>
      </c>
      <c r="L34" s="202">
        <f t="shared" si="12"/>
        <v>795744.5</v>
      </c>
      <c r="M34" s="203">
        <f t="shared" si="13"/>
        <v>795744.5</v>
      </c>
      <c r="N34" s="507">
        <v>0.5</v>
      </c>
      <c r="O34" s="202">
        <v>0</v>
      </c>
      <c r="P34" s="202">
        <v>795744.5</v>
      </c>
      <c r="Q34" s="237"/>
      <c r="R34" s="237"/>
      <c r="S34" s="237"/>
      <c r="T34" s="237"/>
      <c r="U34" s="237"/>
      <c r="V34" s="237"/>
      <c r="W34" s="237"/>
      <c r="X34" s="237"/>
      <c r="Y34" s="499" t="b">
        <f t="shared" si="8"/>
        <v>1</v>
      </c>
      <c r="Z34" s="500">
        <f t="shared" si="9"/>
        <v>0.5</v>
      </c>
      <c r="AA34" s="501" t="b">
        <f t="shared" si="10"/>
        <v>1</v>
      </c>
      <c r="AB34" s="501" t="b">
        <f t="shared" si="11"/>
        <v>1</v>
      </c>
    </row>
    <row r="35" spans="1:28" ht="30">
      <c r="A35" s="210">
        <v>33</v>
      </c>
      <c r="B35" s="504" t="s">
        <v>192</v>
      </c>
      <c r="C35" s="200" t="s">
        <v>67</v>
      </c>
      <c r="D35" s="470" t="s">
        <v>153</v>
      </c>
      <c r="E35" s="505">
        <v>2415062</v>
      </c>
      <c r="F35" s="211" t="s">
        <v>299</v>
      </c>
      <c r="G35" s="506" t="s">
        <v>241</v>
      </c>
      <c r="H35" s="199" t="s">
        <v>123</v>
      </c>
      <c r="I35" s="201">
        <v>0.66100000000000003</v>
      </c>
      <c r="J35" s="226" t="s">
        <v>431</v>
      </c>
      <c r="K35" s="237">
        <v>1151232.79</v>
      </c>
      <c r="L35" s="202">
        <v>633178.03</v>
      </c>
      <c r="M35" s="203">
        <v>518054.76</v>
      </c>
      <c r="N35" s="507">
        <v>0.55000000000000004</v>
      </c>
      <c r="O35" s="202">
        <v>0</v>
      </c>
      <c r="P35" s="202">
        <v>633178.03</v>
      </c>
      <c r="Q35" s="237"/>
      <c r="R35" s="237"/>
      <c r="S35" s="237"/>
      <c r="T35" s="237"/>
      <c r="U35" s="237"/>
      <c r="V35" s="237"/>
      <c r="W35" s="237"/>
      <c r="X35" s="237"/>
      <c r="Y35" s="499" t="b">
        <f t="shared" si="8"/>
        <v>1</v>
      </c>
      <c r="Z35" s="500">
        <f t="shared" si="9"/>
        <v>0.55000000000000004</v>
      </c>
      <c r="AA35" s="501" t="b">
        <f t="shared" si="10"/>
        <v>1</v>
      </c>
      <c r="AB35" s="501" t="b">
        <f t="shared" si="11"/>
        <v>1</v>
      </c>
    </row>
    <row r="36" spans="1:28" ht="30">
      <c r="A36" s="210">
        <v>34</v>
      </c>
      <c r="B36" s="504" t="s">
        <v>193</v>
      </c>
      <c r="C36" s="200" t="s">
        <v>67</v>
      </c>
      <c r="D36" s="470" t="s">
        <v>154</v>
      </c>
      <c r="E36" s="505">
        <v>2407052</v>
      </c>
      <c r="F36" s="211" t="s">
        <v>413</v>
      </c>
      <c r="G36" s="506" t="s">
        <v>242</v>
      </c>
      <c r="H36" s="199" t="s">
        <v>123</v>
      </c>
      <c r="I36" s="201">
        <v>0.60299999999999998</v>
      </c>
      <c r="J36" s="226" t="s">
        <v>432</v>
      </c>
      <c r="K36" s="237">
        <v>896816</v>
      </c>
      <c r="L36" s="202">
        <f t="shared" ref="L36:L65" si="14">ROUND(K36*N36,2)</f>
        <v>538089.6</v>
      </c>
      <c r="M36" s="203">
        <f t="shared" ref="M36:M65" si="15">K36-L36</f>
        <v>358726.40000000002</v>
      </c>
      <c r="N36" s="507">
        <v>0.6</v>
      </c>
      <c r="O36" s="202">
        <v>0</v>
      </c>
      <c r="P36" s="202">
        <v>538089.6</v>
      </c>
      <c r="Q36" s="237"/>
      <c r="R36" s="237"/>
      <c r="S36" s="237"/>
      <c r="T36" s="237"/>
      <c r="U36" s="237"/>
      <c r="V36" s="237"/>
      <c r="W36" s="237"/>
      <c r="X36" s="237"/>
      <c r="Y36" s="499" t="b">
        <f t="shared" si="8"/>
        <v>1</v>
      </c>
      <c r="Z36" s="500">
        <f t="shared" si="9"/>
        <v>0.6</v>
      </c>
      <c r="AA36" s="501" t="b">
        <f t="shared" si="10"/>
        <v>1</v>
      </c>
      <c r="AB36" s="501" t="b">
        <f t="shared" si="11"/>
        <v>1</v>
      </c>
    </row>
    <row r="37" spans="1:28" ht="30">
      <c r="A37" s="210">
        <v>35</v>
      </c>
      <c r="B37" s="504" t="s">
        <v>194</v>
      </c>
      <c r="C37" s="200" t="s">
        <v>67</v>
      </c>
      <c r="D37" s="470" t="s">
        <v>147</v>
      </c>
      <c r="E37" s="212">
        <v>2462011</v>
      </c>
      <c r="F37" s="211" t="s">
        <v>412</v>
      </c>
      <c r="G37" s="506" t="s">
        <v>243</v>
      </c>
      <c r="H37" s="199" t="s">
        <v>123</v>
      </c>
      <c r="I37" s="201">
        <v>0.13500000000000001</v>
      </c>
      <c r="J37" s="226" t="s">
        <v>437</v>
      </c>
      <c r="K37" s="237">
        <v>916315</v>
      </c>
      <c r="L37" s="202">
        <v>687236</v>
      </c>
      <c r="M37" s="203">
        <v>229079</v>
      </c>
      <c r="N37" s="507">
        <v>0.75</v>
      </c>
      <c r="O37" s="202"/>
      <c r="P37" s="202">
        <v>687236</v>
      </c>
      <c r="Q37" s="237"/>
      <c r="R37" s="237"/>
      <c r="S37" s="237"/>
      <c r="T37" s="237"/>
      <c r="U37" s="237"/>
      <c r="V37" s="237"/>
      <c r="W37" s="237"/>
      <c r="X37" s="237"/>
      <c r="Y37" s="499" t="b">
        <f t="shared" si="8"/>
        <v>1</v>
      </c>
      <c r="Z37" s="500">
        <f t="shared" si="9"/>
        <v>0.75</v>
      </c>
      <c r="AA37" s="501" t="b">
        <f t="shared" si="10"/>
        <v>1</v>
      </c>
      <c r="AB37" s="501" t="b">
        <f t="shared" si="11"/>
        <v>1</v>
      </c>
    </row>
    <row r="38" spans="1:28" ht="30">
      <c r="A38" s="210">
        <v>36</v>
      </c>
      <c r="B38" s="504" t="s">
        <v>195</v>
      </c>
      <c r="C38" s="200" t="s">
        <v>67</v>
      </c>
      <c r="D38" s="470" t="s">
        <v>155</v>
      </c>
      <c r="E38" s="510">
        <v>2404063</v>
      </c>
      <c r="F38" s="211" t="s">
        <v>415</v>
      </c>
      <c r="G38" s="511" t="s">
        <v>244</v>
      </c>
      <c r="H38" s="199" t="s">
        <v>123</v>
      </c>
      <c r="I38" s="201">
        <v>0.64500000000000002</v>
      </c>
      <c r="J38" s="226" t="s">
        <v>433</v>
      </c>
      <c r="K38" s="237">
        <v>1005988</v>
      </c>
      <c r="L38" s="202">
        <v>754491</v>
      </c>
      <c r="M38" s="203">
        <v>251497</v>
      </c>
      <c r="N38" s="507">
        <v>0.75</v>
      </c>
      <c r="O38" s="202"/>
      <c r="P38" s="202">
        <v>754491</v>
      </c>
      <c r="Q38" s="237"/>
      <c r="R38" s="237"/>
      <c r="S38" s="237"/>
      <c r="T38" s="237"/>
      <c r="U38" s="237"/>
      <c r="V38" s="237"/>
      <c r="W38" s="237"/>
      <c r="X38" s="237"/>
      <c r="Y38" s="499" t="b">
        <f t="shared" si="8"/>
        <v>1</v>
      </c>
      <c r="Z38" s="500">
        <f t="shared" si="9"/>
        <v>0.75</v>
      </c>
      <c r="AA38" s="501" t="b">
        <f t="shared" si="10"/>
        <v>1</v>
      </c>
      <c r="AB38" s="501" t="b">
        <f t="shared" si="11"/>
        <v>1</v>
      </c>
    </row>
    <row r="39" spans="1:28" ht="30">
      <c r="A39" s="210">
        <v>37</v>
      </c>
      <c r="B39" s="504" t="s">
        <v>196</v>
      </c>
      <c r="C39" s="200" t="s">
        <v>67</v>
      </c>
      <c r="D39" s="470" t="s">
        <v>156</v>
      </c>
      <c r="E39" s="505">
        <v>2404102</v>
      </c>
      <c r="F39" s="211" t="s">
        <v>415</v>
      </c>
      <c r="G39" s="506" t="s">
        <v>245</v>
      </c>
      <c r="H39" s="199" t="s">
        <v>123</v>
      </c>
      <c r="I39" s="201">
        <v>0.36399999999999999</v>
      </c>
      <c r="J39" s="226" t="s">
        <v>406</v>
      </c>
      <c r="K39" s="237">
        <v>1078500</v>
      </c>
      <c r="L39" s="202">
        <f t="shared" si="14"/>
        <v>593175</v>
      </c>
      <c r="M39" s="203">
        <f t="shared" si="15"/>
        <v>485325</v>
      </c>
      <c r="N39" s="507">
        <v>0.55000000000000004</v>
      </c>
      <c r="O39" s="202">
        <v>0</v>
      </c>
      <c r="P39" s="202">
        <v>593175</v>
      </c>
      <c r="Q39" s="237"/>
      <c r="R39" s="237"/>
      <c r="S39" s="237"/>
      <c r="T39" s="237"/>
      <c r="U39" s="237"/>
      <c r="V39" s="237"/>
      <c r="W39" s="237"/>
      <c r="X39" s="237"/>
      <c r="Y39" s="499" t="b">
        <f t="shared" si="8"/>
        <v>1</v>
      </c>
      <c r="Z39" s="500">
        <f t="shared" si="9"/>
        <v>0.55000000000000004</v>
      </c>
      <c r="AA39" s="501" t="b">
        <f t="shared" si="10"/>
        <v>1</v>
      </c>
      <c r="AB39" s="501" t="b">
        <f t="shared" si="11"/>
        <v>1</v>
      </c>
    </row>
    <row r="40" spans="1:28" ht="30">
      <c r="A40" s="210">
        <v>38</v>
      </c>
      <c r="B40" s="504" t="s">
        <v>197</v>
      </c>
      <c r="C40" s="200" t="s">
        <v>67</v>
      </c>
      <c r="D40" s="470" t="s">
        <v>157</v>
      </c>
      <c r="E40" s="505">
        <v>2406052</v>
      </c>
      <c r="F40" s="211" t="s">
        <v>295</v>
      </c>
      <c r="G40" s="506" t="s">
        <v>246</v>
      </c>
      <c r="H40" s="199" t="s">
        <v>123</v>
      </c>
      <c r="I40" s="201">
        <v>0.41</v>
      </c>
      <c r="J40" s="226" t="s">
        <v>434</v>
      </c>
      <c r="K40" s="237">
        <v>370805</v>
      </c>
      <c r="L40" s="202">
        <f t="shared" si="14"/>
        <v>259563.5</v>
      </c>
      <c r="M40" s="203">
        <f t="shared" si="15"/>
        <v>111241.5</v>
      </c>
      <c r="N40" s="507">
        <v>0.7</v>
      </c>
      <c r="O40" s="202">
        <v>0</v>
      </c>
      <c r="P40" s="202">
        <v>259563.5</v>
      </c>
      <c r="Q40" s="237"/>
      <c r="R40" s="237"/>
      <c r="S40" s="237"/>
      <c r="T40" s="237"/>
      <c r="U40" s="237"/>
      <c r="V40" s="237"/>
      <c r="W40" s="237"/>
      <c r="X40" s="237"/>
      <c r="Y40" s="499" t="b">
        <f t="shared" si="8"/>
        <v>1</v>
      </c>
      <c r="Z40" s="500">
        <f t="shared" si="9"/>
        <v>0.7</v>
      </c>
      <c r="AA40" s="501" t="b">
        <f t="shared" si="10"/>
        <v>1</v>
      </c>
      <c r="AB40" s="501" t="b">
        <f t="shared" si="11"/>
        <v>1</v>
      </c>
    </row>
    <row r="41" spans="1:28" ht="30">
      <c r="A41" s="210">
        <v>39</v>
      </c>
      <c r="B41" s="504" t="s">
        <v>198</v>
      </c>
      <c r="C41" s="200" t="s">
        <v>67</v>
      </c>
      <c r="D41" s="470" t="s">
        <v>158</v>
      </c>
      <c r="E41" s="505">
        <v>2413031</v>
      </c>
      <c r="F41" s="211" t="s">
        <v>330</v>
      </c>
      <c r="G41" s="506" t="s">
        <v>247</v>
      </c>
      <c r="H41" s="199" t="s">
        <v>123</v>
      </c>
      <c r="I41" s="201">
        <v>0.48</v>
      </c>
      <c r="J41" s="226" t="s">
        <v>406</v>
      </c>
      <c r="K41" s="237">
        <v>1316979</v>
      </c>
      <c r="L41" s="202">
        <f t="shared" si="14"/>
        <v>658489.5</v>
      </c>
      <c r="M41" s="203">
        <f t="shared" si="15"/>
        <v>658489.5</v>
      </c>
      <c r="N41" s="507">
        <v>0.5</v>
      </c>
      <c r="O41" s="202">
        <v>0</v>
      </c>
      <c r="P41" s="202">
        <v>658489.5</v>
      </c>
      <c r="Q41" s="237"/>
      <c r="R41" s="237"/>
      <c r="S41" s="237"/>
      <c r="T41" s="237"/>
      <c r="U41" s="237"/>
      <c r="V41" s="237"/>
      <c r="W41" s="237"/>
      <c r="X41" s="237"/>
      <c r="Y41" s="499" t="b">
        <f t="shared" si="8"/>
        <v>1</v>
      </c>
      <c r="Z41" s="500">
        <f t="shared" si="9"/>
        <v>0.5</v>
      </c>
      <c r="AA41" s="501" t="b">
        <f t="shared" si="10"/>
        <v>1</v>
      </c>
      <c r="AB41" s="501" t="b">
        <f t="shared" si="11"/>
        <v>1</v>
      </c>
    </row>
    <row r="42" spans="1:28" s="122" customFormat="1" ht="30">
      <c r="A42" s="208">
        <v>40</v>
      </c>
      <c r="B42" s="508" t="s">
        <v>199</v>
      </c>
      <c r="C42" s="195" t="s">
        <v>66</v>
      </c>
      <c r="D42" s="467" t="s">
        <v>159</v>
      </c>
      <c r="E42" s="505">
        <v>2405011</v>
      </c>
      <c r="F42" s="213" t="s">
        <v>416</v>
      </c>
      <c r="G42" s="509" t="s">
        <v>248</v>
      </c>
      <c r="H42" s="194" t="s">
        <v>123</v>
      </c>
      <c r="I42" s="196">
        <v>0.71399999999999997</v>
      </c>
      <c r="J42" s="227" t="s">
        <v>436</v>
      </c>
      <c r="K42" s="206">
        <v>4411451.75</v>
      </c>
      <c r="L42" s="197">
        <v>2205725.87</v>
      </c>
      <c r="M42" s="198">
        <v>2205725.88</v>
      </c>
      <c r="N42" s="404">
        <v>0.5</v>
      </c>
      <c r="O42" s="197">
        <v>0</v>
      </c>
      <c r="P42" s="197">
        <v>2105725.87</v>
      </c>
      <c r="Q42" s="206">
        <v>100000</v>
      </c>
      <c r="R42" s="206"/>
      <c r="S42" s="206"/>
      <c r="T42" s="206"/>
      <c r="U42" s="206"/>
      <c r="V42" s="206"/>
      <c r="W42" s="206"/>
      <c r="X42" s="206"/>
      <c r="Y42" s="499" t="b">
        <f t="shared" si="8"/>
        <v>1</v>
      </c>
      <c r="Z42" s="500">
        <f t="shared" si="9"/>
        <v>0.5</v>
      </c>
      <c r="AA42" s="501" t="b">
        <f t="shared" si="10"/>
        <v>1</v>
      </c>
      <c r="AB42" s="501" t="b">
        <f t="shared" si="11"/>
        <v>1</v>
      </c>
    </row>
    <row r="43" spans="1:28" ht="30">
      <c r="A43" s="210">
        <v>41</v>
      </c>
      <c r="B43" s="504" t="s">
        <v>200</v>
      </c>
      <c r="C43" s="200" t="s">
        <v>67</v>
      </c>
      <c r="D43" s="470" t="s">
        <v>160</v>
      </c>
      <c r="E43" s="505">
        <v>2405082</v>
      </c>
      <c r="F43" s="211" t="s">
        <v>416</v>
      </c>
      <c r="G43" s="506" t="s">
        <v>249</v>
      </c>
      <c r="H43" s="199" t="s">
        <v>123</v>
      </c>
      <c r="I43" s="201">
        <v>0.376</v>
      </c>
      <c r="J43" s="226" t="s">
        <v>437</v>
      </c>
      <c r="K43" s="237">
        <v>314946.8</v>
      </c>
      <c r="L43" s="202">
        <v>157473</v>
      </c>
      <c r="M43" s="203">
        <v>157473.79999999999</v>
      </c>
      <c r="N43" s="507">
        <v>0.5</v>
      </c>
      <c r="O43" s="202">
        <v>0</v>
      </c>
      <c r="P43" s="202">
        <v>157473</v>
      </c>
      <c r="Q43" s="237"/>
      <c r="R43" s="237"/>
      <c r="S43" s="237"/>
      <c r="T43" s="237"/>
      <c r="U43" s="237"/>
      <c r="V43" s="237"/>
      <c r="W43" s="237"/>
      <c r="X43" s="237"/>
      <c r="Y43" s="499" t="b">
        <f t="shared" si="8"/>
        <v>1</v>
      </c>
      <c r="Z43" s="500">
        <f t="shared" si="9"/>
        <v>0.5</v>
      </c>
      <c r="AA43" s="501" t="b">
        <f t="shared" si="10"/>
        <v>1</v>
      </c>
      <c r="AB43" s="501" t="b">
        <f t="shared" si="11"/>
        <v>1</v>
      </c>
    </row>
    <row r="44" spans="1:28" s="122" customFormat="1" ht="60">
      <c r="A44" s="208">
        <v>42</v>
      </c>
      <c r="B44" s="508" t="s">
        <v>201</v>
      </c>
      <c r="C44" s="195" t="s">
        <v>66</v>
      </c>
      <c r="D44" s="467" t="s">
        <v>161</v>
      </c>
      <c r="E44" s="503">
        <v>2411011</v>
      </c>
      <c r="F44" s="213" t="s">
        <v>311</v>
      </c>
      <c r="G44" s="509" t="s">
        <v>250</v>
      </c>
      <c r="H44" s="194" t="s">
        <v>123</v>
      </c>
      <c r="I44" s="196">
        <v>0.49199999999999999</v>
      </c>
      <c r="J44" s="227" t="s">
        <v>858</v>
      </c>
      <c r="K44" s="206">
        <v>1899804</v>
      </c>
      <c r="L44" s="197">
        <f t="shared" si="14"/>
        <v>949902</v>
      </c>
      <c r="M44" s="198">
        <f t="shared" si="15"/>
        <v>949902</v>
      </c>
      <c r="N44" s="404">
        <v>0.5</v>
      </c>
      <c r="O44" s="197">
        <v>0</v>
      </c>
      <c r="P44" s="197">
        <v>611418</v>
      </c>
      <c r="Q44" s="206">
        <v>338484</v>
      </c>
      <c r="R44" s="206"/>
      <c r="S44" s="206"/>
      <c r="T44" s="206"/>
      <c r="U44" s="206"/>
      <c r="V44" s="206"/>
      <c r="W44" s="206"/>
      <c r="X44" s="206"/>
      <c r="Y44" s="499" t="b">
        <f t="shared" si="8"/>
        <v>1</v>
      </c>
      <c r="Z44" s="500">
        <f t="shared" si="9"/>
        <v>0.5</v>
      </c>
      <c r="AA44" s="501" t="b">
        <f t="shared" si="10"/>
        <v>1</v>
      </c>
      <c r="AB44" s="501" t="b">
        <f t="shared" si="11"/>
        <v>1</v>
      </c>
    </row>
    <row r="45" spans="1:28" ht="30">
      <c r="A45" s="210">
        <v>43</v>
      </c>
      <c r="B45" s="504" t="s">
        <v>202</v>
      </c>
      <c r="C45" s="200" t="s">
        <v>67</v>
      </c>
      <c r="D45" s="470" t="s">
        <v>162</v>
      </c>
      <c r="E45" s="505">
        <v>2404032</v>
      </c>
      <c r="F45" s="211" t="s">
        <v>415</v>
      </c>
      <c r="G45" s="506" t="s">
        <v>251</v>
      </c>
      <c r="H45" s="199" t="s">
        <v>123</v>
      </c>
      <c r="I45" s="201">
        <v>0.65700000000000003</v>
      </c>
      <c r="J45" s="226" t="s">
        <v>423</v>
      </c>
      <c r="K45" s="237">
        <v>1056010</v>
      </c>
      <c r="L45" s="202">
        <f t="shared" si="14"/>
        <v>633606</v>
      </c>
      <c r="M45" s="203">
        <f t="shared" si="15"/>
        <v>422404</v>
      </c>
      <c r="N45" s="507">
        <v>0.6</v>
      </c>
      <c r="O45" s="202">
        <v>0</v>
      </c>
      <c r="P45" s="202">
        <v>633606</v>
      </c>
      <c r="Q45" s="237"/>
      <c r="R45" s="237"/>
      <c r="S45" s="237"/>
      <c r="T45" s="237"/>
      <c r="U45" s="237"/>
      <c r="V45" s="237"/>
      <c r="W45" s="237"/>
      <c r="X45" s="237"/>
      <c r="Y45" s="499" t="b">
        <f t="shared" si="8"/>
        <v>1</v>
      </c>
      <c r="Z45" s="500">
        <f t="shared" si="9"/>
        <v>0.6</v>
      </c>
      <c r="AA45" s="501" t="b">
        <f t="shared" si="10"/>
        <v>1</v>
      </c>
      <c r="AB45" s="501" t="b">
        <f t="shared" si="11"/>
        <v>1</v>
      </c>
    </row>
    <row r="46" spans="1:28" s="122" customFormat="1" ht="45">
      <c r="A46" s="208">
        <v>44</v>
      </c>
      <c r="B46" s="508" t="s">
        <v>203</v>
      </c>
      <c r="C46" s="195" t="s">
        <v>66</v>
      </c>
      <c r="D46" s="467" t="s">
        <v>163</v>
      </c>
      <c r="E46" s="503">
        <v>2402032</v>
      </c>
      <c r="F46" s="213" t="s">
        <v>306</v>
      </c>
      <c r="G46" s="509" t="s">
        <v>252</v>
      </c>
      <c r="H46" s="194" t="s">
        <v>123</v>
      </c>
      <c r="I46" s="196">
        <v>0.58699999999999997</v>
      </c>
      <c r="J46" s="227" t="s">
        <v>817</v>
      </c>
      <c r="K46" s="206">
        <v>2945322</v>
      </c>
      <c r="L46" s="197">
        <f t="shared" si="14"/>
        <v>1619927.1</v>
      </c>
      <c r="M46" s="198">
        <f t="shared" si="15"/>
        <v>1325394.8999999999</v>
      </c>
      <c r="N46" s="404">
        <v>0.55000000000000004</v>
      </c>
      <c r="O46" s="197">
        <v>0</v>
      </c>
      <c r="P46" s="197">
        <v>550000</v>
      </c>
      <c r="Q46" s="206">
        <v>1069927.1000000001</v>
      </c>
      <c r="R46" s="206"/>
      <c r="S46" s="206"/>
      <c r="T46" s="206"/>
      <c r="U46" s="206"/>
      <c r="V46" s="206"/>
      <c r="W46" s="206"/>
      <c r="X46" s="206"/>
      <c r="Y46" s="499" t="b">
        <f t="shared" si="8"/>
        <v>1</v>
      </c>
      <c r="Z46" s="500">
        <f t="shared" si="9"/>
        <v>0.55000000000000004</v>
      </c>
      <c r="AA46" s="501" t="b">
        <f t="shared" si="10"/>
        <v>1</v>
      </c>
      <c r="AB46" s="501" t="b">
        <f t="shared" si="11"/>
        <v>1</v>
      </c>
    </row>
    <row r="47" spans="1:28" ht="30">
      <c r="A47" s="210">
        <v>45</v>
      </c>
      <c r="B47" s="504" t="s">
        <v>204</v>
      </c>
      <c r="C47" s="200" t="s">
        <v>67</v>
      </c>
      <c r="D47" s="470" t="s">
        <v>164</v>
      </c>
      <c r="E47" s="505">
        <v>2401042</v>
      </c>
      <c r="F47" s="211" t="s">
        <v>333</v>
      </c>
      <c r="G47" s="506" t="s">
        <v>253</v>
      </c>
      <c r="H47" s="199" t="s">
        <v>123</v>
      </c>
      <c r="I47" s="201">
        <v>0.47499999999999998</v>
      </c>
      <c r="J47" s="226" t="s">
        <v>425</v>
      </c>
      <c r="K47" s="237">
        <v>267442.57999999996</v>
      </c>
      <c r="L47" s="202">
        <v>200581.93</v>
      </c>
      <c r="M47" s="203">
        <v>66860.649999999965</v>
      </c>
      <c r="N47" s="507">
        <v>0.75</v>
      </c>
      <c r="O47" s="202"/>
      <c r="P47" s="202">
        <v>200581.93</v>
      </c>
      <c r="Q47" s="237"/>
      <c r="R47" s="237"/>
      <c r="S47" s="237"/>
      <c r="T47" s="237"/>
      <c r="U47" s="237"/>
      <c r="V47" s="237"/>
      <c r="W47" s="237"/>
      <c r="X47" s="237"/>
      <c r="Y47" s="499" t="b">
        <f t="shared" si="8"/>
        <v>1</v>
      </c>
      <c r="Z47" s="500">
        <f t="shared" si="9"/>
        <v>0.75</v>
      </c>
      <c r="AA47" s="501" t="b">
        <f t="shared" si="10"/>
        <v>1</v>
      </c>
      <c r="AB47" s="501" t="b">
        <f t="shared" si="11"/>
        <v>1</v>
      </c>
    </row>
    <row r="48" spans="1:28" ht="30">
      <c r="A48" s="210">
        <v>46</v>
      </c>
      <c r="B48" s="504" t="s">
        <v>205</v>
      </c>
      <c r="C48" s="200" t="s">
        <v>67</v>
      </c>
      <c r="D48" s="470" t="s">
        <v>165</v>
      </c>
      <c r="E48" s="510">
        <v>2405042</v>
      </c>
      <c r="F48" s="211" t="s">
        <v>416</v>
      </c>
      <c r="G48" s="511" t="s">
        <v>254</v>
      </c>
      <c r="H48" s="199" t="s">
        <v>123</v>
      </c>
      <c r="I48" s="201">
        <v>1.2410000000000001</v>
      </c>
      <c r="J48" s="226" t="s">
        <v>402</v>
      </c>
      <c r="K48" s="237">
        <v>1738516</v>
      </c>
      <c r="L48" s="202">
        <v>1303887</v>
      </c>
      <c r="M48" s="203">
        <v>434629</v>
      </c>
      <c r="N48" s="507">
        <v>0.75</v>
      </c>
      <c r="O48" s="202"/>
      <c r="P48" s="202">
        <v>1303887</v>
      </c>
      <c r="Q48" s="237"/>
      <c r="R48" s="237"/>
      <c r="S48" s="237"/>
      <c r="T48" s="237"/>
      <c r="U48" s="237"/>
      <c r="V48" s="237"/>
      <c r="W48" s="237"/>
      <c r="X48" s="237"/>
      <c r="Y48" s="499" t="b">
        <f t="shared" si="8"/>
        <v>1</v>
      </c>
      <c r="Z48" s="500">
        <f t="shared" si="9"/>
        <v>0.75</v>
      </c>
      <c r="AA48" s="501" t="b">
        <f t="shared" si="10"/>
        <v>1</v>
      </c>
      <c r="AB48" s="501" t="b">
        <f t="shared" si="11"/>
        <v>1</v>
      </c>
    </row>
    <row r="49" spans="1:28" ht="30">
      <c r="A49" s="210">
        <v>47</v>
      </c>
      <c r="B49" s="504" t="s">
        <v>206</v>
      </c>
      <c r="C49" s="200" t="s">
        <v>67</v>
      </c>
      <c r="D49" s="470" t="s">
        <v>166</v>
      </c>
      <c r="E49" s="505">
        <v>2403113</v>
      </c>
      <c r="F49" s="211" t="s">
        <v>411</v>
      </c>
      <c r="G49" s="506" t="s">
        <v>255</v>
      </c>
      <c r="H49" s="199" t="s">
        <v>123</v>
      </c>
      <c r="I49" s="201">
        <v>0.18</v>
      </c>
      <c r="J49" s="226" t="s">
        <v>431</v>
      </c>
      <c r="K49" s="237">
        <v>645242</v>
      </c>
      <c r="L49" s="202">
        <f t="shared" si="14"/>
        <v>354883.1</v>
      </c>
      <c r="M49" s="203">
        <f t="shared" si="15"/>
        <v>290358.90000000002</v>
      </c>
      <c r="N49" s="507">
        <v>0.55000000000000004</v>
      </c>
      <c r="O49" s="202">
        <v>0</v>
      </c>
      <c r="P49" s="202">
        <v>354883.1</v>
      </c>
      <c r="Q49" s="237"/>
      <c r="R49" s="237"/>
      <c r="S49" s="237"/>
      <c r="T49" s="237"/>
      <c r="U49" s="237"/>
      <c r="V49" s="237"/>
      <c r="W49" s="237"/>
      <c r="X49" s="237"/>
      <c r="Y49" s="499" t="b">
        <f t="shared" si="8"/>
        <v>1</v>
      </c>
      <c r="Z49" s="500">
        <f t="shared" si="9"/>
        <v>0.55000000000000004</v>
      </c>
      <c r="AA49" s="501" t="b">
        <f t="shared" si="10"/>
        <v>1</v>
      </c>
      <c r="AB49" s="501" t="b">
        <f t="shared" si="11"/>
        <v>1</v>
      </c>
    </row>
    <row r="50" spans="1:28" ht="30">
      <c r="A50" s="210">
        <v>48</v>
      </c>
      <c r="B50" s="504" t="s">
        <v>207</v>
      </c>
      <c r="C50" s="200" t="s">
        <v>67</v>
      </c>
      <c r="D50" s="470" t="s">
        <v>167</v>
      </c>
      <c r="E50" s="505">
        <v>2417102</v>
      </c>
      <c r="F50" s="211" t="s">
        <v>410</v>
      </c>
      <c r="G50" s="506" t="s">
        <v>256</v>
      </c>
      <c r="H50" s="199" t="s">
        <v>123</v>
      </c>
      <c r="I50" s="201">
        <v>0.32</v>
      </c>
      <c r="J50" s="226" t="s">
        <v>434</v>
      </c>
      <c r="K50" s="237">
        <v>203156</v>
      </c>
      <c r="L50" s="202">
        <f t="shared" si="14"/>
        <v>132051.4</v>
      </c>
      <c r="M50" s="203">
        <f t="shared" si="15"/>
        <v>71104.600000000006</v>
      </c>
      <c r="N50" s="507">
        <v>0.65</v>
      </c>
      <c r="O50" s="202">
        <v>0</v>
      </c>
      <c r="P50" s="202">
        <v>132051.4</v>
      </c>
      <c r="Q50" s="237"/>
      <c r="R50" s="237"/>
      <c r="S50" s="237"/>
      <c r="T50" s="237"/>
      <c r="U50" s="237"/>
      <c r="V50" s="237"/>
      <c r="W50" s="237"/>
      <c r="X50" s="237"/>
      <c r="Y50" s="499" t="b">
        <f t="shared" si="8"/>
        <v>1</v>
      </c>
      <c r="Z50" s="500">
        <f t="shared" si="9"/>
        <v>0.65</v>
      </c>
      <c r="AA50" s="501" t="b">
        <f t="shared" si="10"/>
        <v>1</v>
      </c>
      <c r="AB50" s="501" t="b">
        <f t="shared" si="11"/>
        <v>1</v>
      </c>
    </row>
    <row r="51" spans="1:28" ht="105">
      <c r="A51" s="210">
        <v>49</v>
      </c>
      <c r="B51" s="504" t="s">
        <v>208</v>
      </c>
      <c r="C51" s="200" t="s">
        <v>67</v>
      </c>
      <c r="D51" s="470" t="s">
        <v>137</v>
      </c>
      <c r="E51" s="505">
        <v>2416021</v>
      </c>
      <c r="F51" s="211" t="s">
        <v>309</v>
      </c>
      <c r="G51" s="506" t="s">
        <v>257</v>
      </c>
      <c r="H51" s="199" t="s">
        <v>123</v>
      </c>
      <c r="I51" s="201">
        <v>0.81</v>
      </c>
      <c r="J51" s="226" t="s">
        <v>408</v>
      </c>
      <c r="K51" s="512">
        <v>952073.85</v>
      </c>
      <c r="L51" s="513">
        <v>476036.92</v>
      </c>
      <c r="M51" s="514">
        <v>476036.93</v>
      </c>
      <c r="N51" s="507">
        <v>0.5</v>
      </c>
      <c r="O51" s="202">
        <v>0</v>
      </c>
      <c r="P51" s="202">
        <v>476036.92</v>
      </c>
      <c r="Q51" s="237"/>
      <c r="R51" s="237"/>
      <c r="S51" s="237"/>
      <c r="T51" s="237"/>
      <c r="U51" s="237"/>
      <c r="V51" s="237"/>
      <c r="W51" s="237"/>
      <c r="X51" s="237"/>
      <c r="Y51" s="499" t="b">
        <f t="shared" si="8"/>
        <v>1</v>
      </c>
      <c r="Z51" s="500">
        <f t="shared" si="9"/>
        <v>0.5</v>
      </c>
      <c r="AA51" s="501" t="b">
        <f t="shared" si="10"/>
        <v>1</v>
      </c>
      <c r="AB51" s="501" t="b">
        <f t="shared" si="11"/>
        <v>1</v>
      </c>
    </row>
    <row r="52" spans="1:28" ht="30">
      <c r="A52" s="210">
        <v>50</v>
      </c>
      <c r="B52" s="504" t="s">
        <v>209</v>
      </c>
      <c r="C52" s="200" t="s">
        <v>67</v>
      </c>
      <c r="D52" s="470" t="s">
        <v>164</v>
      </c>
      <c r="E52" s="505">
        <v>2401042</v>
      </c>
      <c r="F52" s="211" t="s">
        <v>333</v>
      </c>
      <c r="G52" s="506" t="s">
        <v>258</v>
      </c>
      <c r="H52" s="199" t="s">
        <v>121</v>
      </c>
      <c r="I52" s="201">
        <v>0.38</v>
      </c>
      <c r="J52" s="226" t="s">
        <v>402</v>
      </c>
      <c r="K52" s="237">
        <v>787385</v>
      </c>
      <c r="L52" s="202">
        <f t="shared" si="14"/>
        <v>393692.5</v>
      </c>
      <c r="M52" s="203">
        <f t="shared" si="15"/>
        <v>393692.5</v>
      </c>
      <c r="N52" s="507">
        <v>0.5</v>
      </c>
      <c r="O52" s="202">
        <v>0</v>
      </c>
      <c r="P52" s="202">
        <v>393692.5</v>
      </c>
      <c r="Q52" s="237"/>
      <c r="R52" s="237"/>
      <c r="S52" s="237"/>
      <c r="T52" s="237"/>
      <c r="U52" s="237"/>
      <c r="V52" s="237"/>
      <c r="W52" s="237"/>
      <c r="X52" s="237"/>
      <c r="Y52" s="499" t="b">
        <f t="shared" si="8"/>
        <v>1</v>
      </c>
      <c r="Z52" s="500">
        <f t="shared" si="9"/>
        <v>0.5</v>
      </c>
      <c r="AA52" s="501" t="b">
        <f t="shared" si="10"/>
        <v>1</v>
      </c>
      <c r="AB52" s="501" t="b">
        <f t="shared" si="11"/>
        <v>1</v>
      </c>
    </row>
    <row r="53" spans="1:28" ht="30">
      <c r="A53" s="210">
        <v>51</v>
      </c>
      <c r="B53" s="504" t="s">
        <v>210</v>
      </c>
      <c r="C53" s="200" t="s">
        <v>67</v>
      </c>
      <c r="D53" s="470" t="s">
        <v>152</v>
      </c>
      <c r="E53" s="505">
        <v>2414011</v>
      </c>
      <c r="F53" s="211" t="s">
        <v>414</v>
      </c>
      <c r="G53" s="506" t="s">
        <v>259</v>
      </c>
      <c r="H53" s="199" t="s">
        <v>123</v>
      </c>
      <c r="I53" s="201">
        <v>0.40500000000000003</v>
      </c>
      <c r="J53" s="226" t="s">
        <v>442</v>
      </c>
      <c r="K53" s="237">
        <v>1883983</v>
      </c>
      <c r="L53" s="202">
        <f t="shared" si="14"/>
        <v>941991.5</v>
      </c>
      <c r="M53" s="203">
        <f t="shared" si="15"/>
        <v>941991.5</v>
      </c>
      <c r="N53" s="507">
        <v>0.5</v>
      </c>
      <c r="O53" s="202">
        <v>0</v>
      </c>
      <c r="P53" s="202">
        <v>941991.5</v>
      </c>
      <c r="Q53" s="237"/>
      <c r="R53" s="237"/>
      <c r="S53" s="237"/>
      <c r="T53" s="237"/>
      <c r="U53" s="237"/>
      <c r="V53" s="237"/>
      <c r="W53" s="237"/>
      <c r="X53" s="237"/>
      <c r="Y53" s="499" t="b">
        <f t="shared" si="8"/>
        <v>1</v>
      </c>
      <c r="Z53" s="500">
        <f t="shared" si="9"/>
        <v>0.5</v>
      </c>
      <c r="AA53" s="501" t="b">
        <f t="shared" si="10"/>
        <v>1</v>
      </c>
      <c r="AB53" s="501" t="b">
        <f t="shared" si="11"/>
        <v>1</v>
      </c>
    </row>
    <row r="54" spans="1:28" ht="60">
      <c r="A54" s="210">
        <v>52</v>
      </c>
      <c r="B54" s="504" t="s">
        <v>211</v>
      </c>
      <c r="C54" s="200" t="s">
        <v>67</v>
      </c>
      <c r="D54" s="470" t="s">
        <v>168</v>
      </c>
      <c r="E54" s="505">
        <v>2409032</v>
      </c>
      <c r="F54" s="211" t="s">
        <v>320</v>
      </c>
      <c r="G54" s="506" t="s">
        <v>260</v>
      </c>
      <c r="H54" s="199" t="s">
        <v>121</v>
      </c>
      <c r="I54" s="201">
        <v>0.39</v>
      </c>
      <c r="J54" s="226" t="s">
        <v>422</v>
      </c>
      <c r="K54" s="237">
        <v>1042583</v>
      </c>
      <c r="L54" s="202">
        <f t="shared" si="14"/>
        <v>573420.65</v>
      </c>
      <c r="M54" s="203">
        <f t="shared" si="15"/>
        <v>469162.35</v>
      </c>
      <c r="N54" s="507">
        <v>0.55000000000000004</v>
      </c>
      <c r="O54" s="202">
        <v>0</v>
      </c>
      <c r="P54" s="202">
        <v>573420.65</v>
      </c>
      <c r="Q54" s="237"/>
      <c r="R54" s="237"/>
      <c r="S54" s="237"/>
      <c r="T54" s="237"/>
      <c r="U54" s="237"/>
      <c r="V54" s="237"/>
      <c r="W54" s="237"/>
      <c r="X54" s="237"/>
      <c r="Y54" s="499" t="b">
        <f t="shared" si="8"/>
        <v>1</v>
      </c>
      <c r="Z54" s="500">
        <f t="shared" si="9"/>
        <v>0.55000000000000004</v>
      </c>
      <c r="AA54" s="501" t="b">
        <f t="shared" si="10"/>
        <v>1</v>
      </c>
      <c r="AB54" s="501" t="b">
        <f t="shared" si="11"/>
        <v>1</v>
      </c>
    </row>
    <row r="55" spans="1:28" ht="30">
      <c r="A55" s="210">
        <v>53</v>
      </c>
      <c r="B55" s="504" t="s">
        <v>212</v>
      </c>
      <c r="C55" s="200" t="s">
        <v>67</v>
      </c>
      <c r="D55" s="470" t="s">
        <v>169</v>
      </c>
      <c r="E55" s="505">
        <v>2406042</v>
      </c>
      <c r="F55" s="211" t="s">
        <v>295</v>
      </c>
      <c r="G55" s="506" t="s">
        <v>261</v>
      </c>
      <c r="H55" s="199" t="s">
        <v>121</v>
      </c>
      <c r="I55" s="201">
        <v>0.438</v>
      </c>
      <c r="J55" s="226" t="s">
        <v>401</v>
      </c>
      <c r="K55" s="237">
        <v>741116.82</v>
      </c>
      <c r="L55" s="202">
        <v>407614.25</v>
      </c>
      <c r="M55" s="203">
        <f t="shared" si="15"/>
        <v>333502.56999999995</v>
      </c>
      <c r="N55" s="507">
        <v>0.55000000000000004</v>
      </c>
      <c r="O55" s="202">
        <v>0</v>
      </c>
      <c r="P55" s="202">
        <f>L55</f>
        <v>407614.25</v>
      </c>
      <c r="Q55" s="237"/>
      <c r="R55" s="237"/>
      <c r="S55" s="237"/>
      <c r="T55" s="237"/>
      <c r="U55" s="237"/>
      <c r="V55" s="237"/>
      <c r="W55" s="237"/>
      <c r="X55" s="237"/>
      <c r="Y55" s="499" t="b">
        <f t="shared" si="8"/>
        <v>1</v>
      </c>
      <c r="Z55" s="500">
        <f t="shared" si="9"/>
        <v>0.55000000000000004</v>
      </c>
      <c r="AA55" s="501" t="b">
        <f t="shared" si="10"/>
        <v>1</v>
      </c>
      <c r="AB55" s="501" t="b">
        <f t="shared" si="11"/>
        <v>1</v>
      </c>
    </row>
    <row r="56" spans="1:28" ht="30">
      <c r="A56" s="210">
        <v>54</v>
      </c>
      <c r="B56" s="504" t="s">
        <v>213</v>
      </c>
      <c r="C56" s="200" t="s">
        <v>67</v>
      </c>
      <c r="D56" s="470" t="s">
        <v>145</v>
      </c>
      <c r="E56" s="505">
        <v>2406082</v>
      </c>
      <c r="F56" s="211" t="s">
        <v>295</v>
      </c>
      <c r="G56" s="506" t="s">
        <v>262</v>
      </c>
      <c r="H56" s="199" t="s">
        <v>123</v>
      </c>
      <c r="I56" s="201">
        <v>0.51400000000000001</v>
      </c>
      <c r="J56" s="226" t="s">
        <v>857</v>
      </c>
      <c r="K56" s="237">
        <v>600000</v>
      </c>
      <c r="L56" s="202">
        <f t="shared" si="14"/>
        <v>300000</v>
      </c>
      <c r="M56" s="203">
        <f t="shared" si="15"/>
        <v>300000</v>
      </c>
      <c r="N56" s="507">
        <v>0.5</v>
      </c>
      <c r="O56" s="202">
        <v>0</v>
      </c>
      <c r="P56" s="202">
        <v>300000</v>
      </c>
      <c r="Q56" s="237"/>
      <c r="R56" s="237"/>
      <c r="S56" s="237"/>
      <c r="T56" s="237"/>
      <c r="U56" s="237"/>
      <c r="V56" s="237"/>
      <c r="W56" s="237"/>
      <c r="X56" s="237"/>
      <c r="Y56" s="499" t="b">
        <f t="shared" si="8"/>
        <v>1</v>
      </c>
      <c r="Z56" s="500">
        <f t="shared" si="9"/>
        <v>0.5</v>
      </c>
      <c r="AA56" s="501" t="b">
        <f t="shared" si="10"/>
        <v>1</v>
      </c>
      <c r="AB56" s="501" t="b">
        <f t="shared" si="11"/>
        <v>1</v>
      </c>
    </row>
    <row r="57" spans="1:28" ht="30">
      <c r="A57" s="210">
        <v>55</v>
      </c>
      <c r="B57" s="504" t="s">
        <v>214</v>
      </c>
      <c r="C57" s="200" t="s">
        <v>67</v>
      </c>
      <c r="D57" s="470" t="s">
        <v>157</v>
      </c>
      <c r="E57" s="505">
        <v>2406052</v>
      </c>
      <c r="F57" s="211" t="s">
        <v>295</v>
      </c>
      <c r="G57" s="506" t="s">
        <v>263</v>
      </c>
      <c r="H57" s="199" t="s">
        <v>123</v>
      </c>
      <c r="I57" s="201">
        <v>0.33500000000000002</v>
      </c>
      <c r="J57" s="226" t="s">
        <v>435</v>
      </c>
      <c r="K57" s="237">
        <v>344818</v>
      </c>
      <c r="L57" s="202">
        <f t="shared" si="14"/>
        <v>241372.6</v>
      </c>
      <c r="M57" s="203">
        <f t="shared" si="15"/>
        <v>103445.4</v>
      </c>
      <c r="N57" s="507">
        <v>0.7</v>
      </c>
      <c r="O57" s="202">
        <v>0</v>
      </c>
      <c r="P57" s="202">
        <v>241372.6</v>
      </c>
      <c r="Q57" s="237"/>
      <c r="R57" s="237"/>
      <c r="S57" s="237"/>
      <c r="T57" s="237"/>
      <c r="U57" s="237"/>
      <c r="V57" s="237"/>
      <c r="W57" s="237"/>
      <c r="X57" s="237"/>
      <c r="Y57" s="499" t="b">
        <f t="shared" si="8"/>
        <v>1</v>
      </c>
      <c r="Z57" s="500">
        <f t="shared" si="9"/>
        <v>0.7</v>
      </c>
      <c r="AA57" s="501" t="b">
        <f t="shared" si="10"/>
        <v>1</v>
      </c>
      <c r="AB57" s="501" t="b">
        <f t="shared" si="11"/>
        <v>1</v>
      </c>
    </row>
    <row r="58" spans="1:28" s="408" customFormat="1" ht="45">
      <c r="A58" s="210">
        <v>56</v>
      </c>
      <c r="B58" s="504" t="s">
        <v>215</v>
      </c>
      <c r="C58" s="200"/>
      <c r="D58" s="515" t="s">
        <v>870</v>
      </c>
      <c r="E58" s="505">
        <v>2407042</v>
      </c>
      <c r="F58" s="211" t="s">
        <v>413</v>
      </c>
      <c r="G58" s="506" t="s">
        <v>264</v>
      </c>
      <c r="H58" s="199" t="s">
        <v>123</v>
      </c>
      <c r="I58" s="201"/>
      <c r="J58" s="226"/>
      <c r="K58" s="237"/>
      <c r="L58" s="202"/>
      <c r="M58" s="203"/>
      <c r="N58" s="507"/>
      <c r="O58" s="202"/>
      <c r="P58" s="202"/>
      <c r="Q58" s="237"/>
      <c r="R58" s="237"/>
      <c r="S58" s="237"/>
      <c r="T58" s="237"/>
      <c r="U58" s="237"/>
      <c r="V58" s="237"/>
      <c r="W58" s="237"/>
      <c r="X58" s="237"/>
      <c r="Y58" s="499" t="b">
        <f t="shared" si="8"/>
        <v>1</v>
      </c>
      <c r="Z58" s="500" t="e">
        <f t="shared" si="9"/>
        <v>#DIV/0!</v>
      </c>
      <c r="AA58" s="501" t="e">
        <f t="shared" si="10"/>
        <v>#DIV/0!</v>
      </c>
      <c r="AB58" s="501" t="b">
        <f t="shared" si="11"/>
        <v>1</v>
      </c>
    </row>
    <row r="59" spans="1:28" ht="45">
      <c r="A59" s="210">
        <v>57</v>
      </c>
      <c r="B59" s="516" t="s">
        <v>216</v>
      </c>
      <c r="C59" s="200"/>
      <c r="D59" s="515" t="s">
        <v>869</v>
      </c>
      <c r="E59" s="505">
        <v>2404152</v>
      </c>
      <c r="F59" s="211" t="s">
        <v>415</v>
      </c>
      <c r="G59" s="506" t="s">
        <v>265</v>
      </c>
      <c r="H59" s="199" t="s">
        <v>123</v>
      </c>
      <c r="I59" s="201"/>
      <c r="J59" s="226"/>
      <c r="K59" s="237"/>
      <c r="L59" s="202"/>
      <c r="M59" s="203"/>
      <c r="N59" s="507"/>
      <c r="O59" s="202"/>
      <c r="P59" s="202"/>
      <c r="Q59" s="237"/>
      <c r="R59" s="237"/>
      <c r="S59" s="237"/>
      <c r="T59" s="237"/>
      <c r="U59" s="237"/>
      <c r="V59" s="237"/>
      <c r="W59" s="237"/>
      <c r="X59" s="237"/>
      <c r="Y59" s="499" t="b">
        <f t="shared" si="8"/>
        <v>1</v>
      </c>
      <c r="Z59" s="500" t="e">
        <f t="shared" si="9"/>
        <v>#DIV/0!</v>
      </c>
      <c r="AA59" s="501" t="e">
        <f t="shared" si="10"/>
        <v>#DIV/0!</v>
      </c>
      <c r="AB59" s="501" t="b">
        <f t="shared" si="11"/>
        <v>1</v>
      </c>
    </row>
    <row r="60" spans="1:28" ht="30">
      <c r="A60" s="210">
        <v>58</v>
      </c>
      <c r="B60" s="504" t="s">
        <v>217</v>
      </c>
      <c r="C60" s="200" t="s">
        <v>67</v>
      </c>
      <c r="D60" s="470" t="s">
        <v>143</v>
      </c>
      <c r="E60" s="505">
        <v>2406062</v>
      </c>
      <c r="F60" s="211" t="s">
        <v>295</v>
      </c>
      <c r="G60" s="506" t="s">
        <v>266</v>
      </c>
      <c r="H60" s="199" t="s">
        <v>123</v>
      </c>
      <c r="I60" s="201">
        <v>1.405</v>
      </c>
      <c r="J60" s="226" t="s">
        <v>427</v>
      </c>
      <c r="K60" s="237">
        <v>3000000</v>
      </c>
      <c r="L60" s="202">
        <f t="shared" si="14"/>
        <v>1500000</v>
      </c>
      <c r="M60" s="203">
        <f t="shared" si="15"/>
        <v>1500000</v>
      </c>
      <c r="N60" s="507">
        <v>0.5</v>
      </c>
      <c r="O60" s="202">
        <v>0</v>
      </c>
      <c r="P60" s="202">
        <v>1500000</v>
      </c>
      <c r="Q60" s="237"/>
      <c r="R60" s="237"/>
      <c r="S60" s="237"/>
      <c r="T60" s="237"/>
      <c r="U60" s="237"/>
      <c r="V60" s="237"/>
      <c r="W60" s="237"/>
      <c r="X60" s="237"/>
      <c r="Y60" s="499" t="b">
        <f t="shared" si="8"/>
        <v>1</v>
      </c>
      <c r="Z60" s="500">
        <f t="shared" si="9"/>
        <v>0.5</v>
      </c>
      <c r="AA60" s="501" t="b">
        <f t="shared" si="10"/>
        <v>1</v>
      </c>
      <c r="AB60" s="501" t="b">
        <f t="shared" si="11"/>
        <v>1</v>
      </c>
    </row>
    <row r="61" spans="1:28" ht="30">
      <c r="A61" s="210">
        <v>59</v>
      </c>
      <c r="B61" s="504" t="s">
        <v>218</v>
      </c>
      <c r="C61" s="200" t="s">
        <v>67</v>
      </c>
      <c r="D61" s="470" t="s">
        <v>170</v>
      </c>
      <c r="E61" s="505">
        <v>2412052</v>
      </c>
      <c r="F61" s="211" t="s">
        <v>326</v>
      </c>
      <c r="G61" s="506" t="s">
        <v>267</v>
      </c>
      <c r="H61" s="199" t="s">
        <v>123</v>
      </c>
      <c r="I61" s="201">
        <v>0.40799999999999997</v>
      </c>
      <c r="J61" s="226" t="s">
        <v>408</v>
      </c>
      <c r="K61" s="237">
        <v>1707369</v>
      </c>
      <c r="L61" s="202">
        <v>853684.5</v>
      </c>
      <c r="M61" s="203">
        <v>853684.5</v>
      </c>
      <c r="N61" s="507">
        <v>0.49</v>
      </c>
      <c r="O61" s="202">
        <v>0</v>
      </c>
      <c r="P61" s="202">
        <v>853684.5</v>
      </c>
      <c r="Q61" s="237"/>
      <c r="R61" s="237"/>
      <c r="S61" s="237"/>
      <c r="T61" s="237"/>
      <c r="U61" s="237"/>
      <c r="V61" s="237"/>
      <c r="W61" s="237"/>
      <c r="X61" s="237"/>
      <c r="Y61" s="499" t="b">
        <f t="shared" si="8"/>
        <v>1</v>
      </c>
      <c r="Z61" s="500">
        <f t="shared" si="9"/>
        <v>0.5</v>
      </c>
      <c r="AA61" s="501" t="b">
        <f t="shared" si="10"/>
        <v>0</v>
      </c>
      <c r="AB61" s="501" t="b">
        <f t="shared" si="11"/>
        <v>1</v>
      </c>
    </row>
    <row r="62" spans="1:28" ht="30">
      <c r="A62" s="210">
        <v>60</v>
      </c>
      <c r="B62" s="504" t="s">
        <v>219</v>
      </c>
      <c r="C62" s="200" t="s">
        <v>67</v>
      </c>
      <c r="D62" s="470" t="s">
        <v>80</v>
      </c>
      <c r="E62" s="212">
        <v>2470011</v>
      </c>
      <c r="F62" s="211" t="s">
        <v>417</v>
      </c>
      <c r="G62" s="506" t="s">
        <v>268</v>
      </c>
      <c r="H62" s="199" t="s">
        <v>123</v>
      </c>
      <c r="I62" s="201">
        <v>0.34100000000000003</v>
      </c>
      <c r="J62" s="226" t="s">
        <v>441</v>
      </c>
      <c r="K62" s="237">
        <v>2534109</v>
      </c>
      <c r="L62" s="202">
        <v>1900581</v>
      </c>
      <c r="M62" s="203">
        <v>633528</v>
      </c>
      <c r="N62" s="507">
        <v>0.75</v>
      </c>
      <c r="O62" s="202"/>
      <c r="P62" s="202">
        <v>1900581</v>
      </c>
      <c r="Q62" s="237"/>
      <c r="R62" s="237"/>
      <c r="S62" s="237"/>
      <c r="T62" s="237"/>
      <c r="U62" s="237"/>
      <c r="V62" s="237"/>
      <c r="W62" s="237"/>
      <c r="X62" s="237"/>
      <c r="Y62" s="499" t="b">
        <f t="shared" si="8"/>
        <v>1</v>
      </c>
      <c r="Z62" s="500">
        <f t="shared" si="9"/>
        <v>0.75</v>
      </c>
      <c r="AA62" s="501" t="b">
        <f t="shared" si="10"/>
        <v>1</v>
      </c>
      <c r="AB62" s="501" t="b">
        <f t="shared" si="11"/>
        <v>1</v>
      </c>
    </row>
    <row r="63" spans="1:28" ht="45">
      <c r="A63" s="210">
        <v>61</v>
      </c>
      <c r="B63" s="504" t="s">
        <v>220</v>
      </c>
      <c r="C63" s="200" t="s">
        <v>67</v>
      </c>
      <c r="D63" s="470" t="s">
        <v>171</v>
      </c>
      <c r="E63" s="505">
        <v>2401031</v>
      </c>
      <c r="F63" s="211" t="s">
        <v>333</v>
      </c>
      <c r="G63" s="506" t="s">
        <v>269</v>
      </c>
      <c r="H63" s="199" t="s">
        <v>123</v>
      </c>
      <c r="I63" s="201">
        <v>0.69399999999999995</v>
      </c>
      <c r="J63" s="226" t="s">
        <v>827</v>
      </c>
      <c r="K63" s="237">
        <v>4897170</v>
      </c>
      <c r="L63" s="202">
        <f t="shared" si="14"/>
        <v>2448585</v>
      </c>
      <c r="M63" s="203">
        <f t="shared" si="15"/>
        <v>2448585</v>
      </c>
      <c r="N63" s="507">
        <v>0.5</v>
      </c>
      <c r="O63" s="202">
        <v>0</v>
      </c>
      <c r="P63" s="202">
        <v>2448585</v>
      </c>
      <c r="Q63" s="237"/>
      <c r="R63" s="237"/>
      <c r="S63" s="237"/>
      <c r="T63" s="237"/>
      <c r="U63" s="237"/>
      <c r="V63" s="237"/>
      <c r="W63" s="237"/>
      <c r="X63" s="237"/>
      <c r="Y63" s="499" t="b">
        <f t="shared" si="8"/>
        <v>1</v>
      </c>
      <c r="Z63" s="500">
        <f t="shared" si="9"/>
        <v>0.5</v>
      </c>
      <c r="AA63" s="501" t="b">
        <f t="shared" si="10"/>
        <v>1</v>
      </c>
      <c r="AB63" s="501" t="b">
        <f t="shared" si="11"/>
        <v>1</v>
      </c>
    </row>
    <row r="64" spans="1:28" ht="30">
      <c r="A64" s="210">
        <v>62</v>
      </c>
      <c r="B64" s="504" t="s">
        <v>221</v>
      </c>
      <c r="C64" s="200" t="s">
        <v>67</v>
      </c>
      <c r="D64" s="470" t="s">
        <v>172</v>
      </c>
      <c r="E64" s="505">
        <v>2408031</v>
      </c>
      <c r="F64" s="211" t="s">
        <v>292</v>
      </c>
      <c r="G64" s="506" t="s">
        <v>270</v>
      </c>
      <c r="H64" s="199" t="s">
        <v>123</v>
      </c>
      <c r="I64" s="201">
        <v>0.21</v>
      </c>
      <c r="J64" s="226" t="s">
        <v>856</v>
      </c>
      <c r="K64" s="237">
        <v>231913</v>
      </c>
      <c r="L64" s="202">
        <f t="shared" si="14"/>
        <v>115956.5</v>
      </c>
      <c r="M64" s="203">
        <f t="shared" si="15"/>
        <v>115956.5</v>
      </c>
      <c r="N64" s="507">
        <v>0.5</v>
      </c>
      <c r="O64" s="202">
        <v>0</v>
      </c>
      <c r="P64" s="202">
        <v>115956.5</v>
      </c>
      <c r="Q64" s="237"/>
      <c r="R64" s="237"/>
      <c r="S64" s="237"/>
      <c r="T64" s="237"/>
      <c r="U64" s="237"/>
      <c r="V64" s="237"/>
      <c r="W64" s="237"/>
      <c r="X64" s="237"/>
      <c r="Y64" s="499" t="b">
        <f t="shared" si="8"/>
        <v>1</v>
      </c>
      <c r="Z64" s="500">
        <f t="shared" si="9"/>
        <v>0.5</v>
      </c>
      <c r="AA64" s="501" t="b">
        <f t="shared" si="10"/>
        <v>1</v>
      </c>
      <c r="AB64" s="501" t="b">
        <f t="shared" si="11"/>
        <v>1</v>
      </c>
    </row>
    <row r="65" spans="1:28" ht="48" customHeight="1">
      <c r="A65" s="210">
        <v>63</v>
      </c>
      <c r="B65" s="504" t="s">
        <v>222</v>
      </c>
      <c r="C65" s="200" t="s">
        <v>67</v>
      </c>
      <c r="D65" s="470" t="s">
        <v>173</v>
      </c>
      <c r="E65" s="505">
        <v>2404132</v>
      </c>
      <c r="F65" s="211" t="s">
        <v>415</v>
      </c>
      <c r="G65" s="506" t="s">
        <v>271</v>
      </c>
      <c r="H65" s="199" t="s">
        <v>123</v>
      </c>
      <c r="I65" s="201">
        <v>0.39600000000000002</v>
      </c>
      <c r="J65" s="226" t="s">
        <v>404</v>
      </c>
      <c r="K65" s="237">
        <v>227817</v>
      </c>
      <c r="L65" s="202">
        <f t="shared" si="14"/>
        <v>113908.5</v>
      </c>
      <c r="M65" s="203">
        <f t="shared" si="15"/>
        <v>113908.5</v>
      </c>
      <c r="N65" s="507">
        <v>0.5</v>
      </c>
      <c r="O65" s="202">
        <v>0</v>
      </c>
      <c r="P65" s="202">
        <v>113908.5</v>
      </c>
      <c r="Q65" s="237"/>
      <c r="R65" s="237"/>
      <c r="S65" s="237"/>
      <c r="T65" s="237"/>
      <c r="U65" s="237"/>
      <c r="V65" s="237"/>
      <c r="W65" s="237"/>
      <c r="X65" s="237"/>
      <c r="Y65" s="499" t="b">
        <f t="shared" si="8"/>
        <v>1</v>
      </c>
      <c r="Z65" s="500">
        <f t="shared" si="9"/>
        <v>0.5</v>
      </c>
      <c r="AA65" s="501" t="b">
        <f t="shared" si="10"/>
        <v>1</v>
      </c>
      <c r="AB65" s="501" t="b">
        <f t="shared" si="11"/>
        <v>1</v>
      </c>
    </row>
    <row r="66" spans="1:28" ht="45">
      <c r="A66" s="210">
        <v>64</v>
      </c>
      <c r="B66" s="504" t="s">
        <v>223</v>
      </c>
      <c r="C66" s="200" t="s">
        <v>67</v>
      </c>
      <c r="D66" s="470" t="s">
        <v>174</v>
      </c>
      <c r="E66" s="505">
        <v>2416063</v>
      </c>
      <c r="F66" s="211" t="s">
        <v>309</v>
      </c>
      <c r="G66" s="506" t="s">
        <v>272</v>
      </c>
      <c r="H66" s="199" t="s">
        <v>123</v>
      </c>
      <c r="I66" s="201">
        <v>0.72699999999999998</v>
      </c>
      <c r="J66" s="226" t="s">
        <v>853</v>
      </c>
      <c r="K66" s="237">
        <v>1977262</v>
      </c>
      <c r="L66" s="202">
        <v>1482946</v>
      </c>
      <c r="M66" s="203">
        <v>494316</v>
      </c>
      <c r="N66" s="507">
        <v>0.75</v>
      </c>
      <c r="O66" s="202"/>
      <c r="P66" s="202">
        <v>1482946</v>
      </c>
      <c r="Q66" s="237"/>
      <c r="R66" s="237"/>
      <c r="S66" s="237"/>
      <c r="T66" s="237"/>
      <c r="U66" s="237"/>
      <c r="V66" s="237"/>
      <c r="W66" s="237"/>
      <c r="X66" s="237"/>
      <c r="Y66" s="499" t="b">
        <f t="shared" si="8"/>
        <v>1</v>
      </c>
      <c r="Z66" s="500">
        <f t="shared" si="9"/>
        <v>0.75</v>
      </c>
      <c r="AA66" s="501" t="b">
        <f t="shared" si="10"/>
        <v>1</v>
      </c>
      <c r="AB66" s="501" t="b">
        <f t="shared" si="11"/>
        <v>1</v>
      </c>
    </row>
    <row r="67" spans="1:28" ht="30">
      <c r="A67" s="210">
        <v>65</v>
      </c>
      <c r="B67" s="504" t="s">
        <v>224</v>
      </c>
      <c r="C67" s="200" t="s">
        <v>67</v>
      </c>
      <c r="D67" s="470" t="s">
        <v>175</v>
      </c>
      <c r="E67" s="505">
        <v>2407011</v>
      </c>
      <c r="F67" s="211" t="s">
        <v>413</v>
      </c>
      <c r="G67" s="506" t="s">
        <v>273</v>
      </c>
      <c r="H67" s="199" t="s">
        <v>123</v>
      </c>
      <c r="I67" s="201">
        <v>1.3560000000000001</v>
      </c>
      <c r="J67" s="226" t="s">
        <v>850</v>
      </c>
      <c r="K67" s="237">
        <v>3971335</v>
      </c>
      <c r="L67" s="202">
        <f>ROUND(K67*N67,2)</f>
        <v>1985667.5</v>
      </c>
      <c r="M67" s="203">
        <f>K67-L67</f>
        <v>1985667.5</v>
      </c>
      <c r="N67" s="507">
        <v>0.5</v>
      </c>
      <c r="O67" s="202">
        <v>0</v>
      </c>
      <c r="P67" s="202">
        <v>1985667.5</v>
      </c>
      <c r="Q67" s="237"/>
      <c r="R67" s="237"/>
      <c r="S67" s="237"/>
      <c r="T67" s="237"/>
      <c r="U67" s="237"/>
      <c r="V67" s="237"/>
      <c r="W67" s="237"/>
      <c r="X67" s="237"/>
      <c r="Y67" s="499" t="b">
        <f t="shared" si="8"/>
        <v>1</v>
      </c>
      <c r="Z67" s="500">
        <f t="shared" si="9"/>
        <v>0.5</v>
      </c>
      <c r="AA67" s="501" t="b">
        <f t="shared" si="10"/>
        <v>1</v>
      </c>
      <c r="AB67" s="501" t="b">
        <f t="shared" si="11"/>
        <v>1</v>
      </c>
    </row>
    <row r="68" spans="1:28" s="122" customFormat="1" ht="45">
      <c r="A68" s="210">
        <v>66</v>
      </c>
      <c r="B68" s="508" t="s">
        <v>808</v>
      </c>
      <c r="C68" s="214" t="s">
        <v>66</v>
      </c>
      <c r="D68" s="224" t="s">
        <v>791</v>
      </c>
      <c r="E68" s="517" t="s">
        <v>543</v>
      </c>
      <c r="F68" s="215" t="s">
        <v>295</v>
      </c>
      <c r="G68" s="469" t="s">
        <v>799</v>
      </c>
      <c r="H68" s="216" t="s">
        <v>123</v>
      </c>
      <c r="I68" s="217">
        <v>1.7849999999999999</v>
      </c>
      <c r="J68" s="228" t="s">
        <v>852</v>
      </c>
      <c r="K68" s="238">
        <v>6176115</v>
      </c>
      <c r="L68" s="207">
        <v>3088057.5</v>
      </c>
      <c r="M68" s="198">
        <v>3088057.5</v>
      </c>
      <c r="N68" s="518">
        <v>0.5</v>
      </c>
      <c r="O68" s="197">
        <v>0</v>
      </c>
      <c r="P68" s="207">
        <v>1492979.5</v>
      </c>
      <c r="Q68" s="238">
        <v>1595078</v>
      </c>
      <c r="R68" s="206"/>
      <c r="S68" s="206"/>
      <c r="T68" s="206"/>
      <c r="U68" s="206"/>
      <c r="V68" s="206"/>
      <c r="W68" s="206"/>
      <c r="X68" s="206"/>
      <c r="Y68" s="499" t="b">
        <f t="shared" ref="Y68:Y73" si="16">L68=SUM(O68:X68)</f>
        <v>1</v>
      </c>
      <c r="Z68" s="500">
        <f t="shared" ref="Z68:Z73" si="17">ROUND(L68/K68,4)</f>
        <v>0.5</v>
      </c>
      <c r="AA68" s="501" t="b">
        <f t="shared" ref="AA68:AA73" si="18">Z68=N68</f>
        <v>1</v>
      </c>
      <c r="AB68" s="501" t="b">
        <f t="shared" ref="AB68:AB73" si="19">K68=L68+M68</f>
        <v>1</v>
      </c>
    </row>
    <row r="69" spans="1:28" ht="30">
      <c r="A69" s="210">
        <v>67</v>
      </c>
      <c r="B69" s="504" t="s">
        <v>351</v>
      </c>
      <c r="C69" s="377" t="s">
        <v>67</v>
      </c>
      <c r="D69" s="470" t="s">
        <v>355</v>
      </c>
      <c r="E69" s="519">
        <v>2479011</v>
      </c>
      <c r="F69" s="378" t="s">
        <v>420</v>
      </c>
      <c r="G69" s="520" t="s">
        <v>362</v>
      </c>
      <c r="H69" s="379" t="s">
        <v>123</v>
      </c>
      <c r="I69" s="380">
        <v>2.7879999999999998</v>
      </c>
      <c r="J69" s="381" t="s">
        <v>442</v>
      </c>
      <c r="K69" s="382">
        <v>4146410</v>
      </c>
      <c r="L69" s="383">
        <v>3109807</v>
      </c>
      <c r="M69" s="203">
        <v>1036603</v>
      </c>
      <c r="N69" s="521">
        <v>0.75</v>
      </c>
      <c r="O69" s="202"/>
      <c r="P69" s="383">
        <v>3109807</v>
      </c>
      <c r="Q69" s="382"/>
      <c r="R69" s="237"/>
      <c r="S69" s="237"/>
      <c r="T69" s="237"/>
      <c r="U69" s="237"/>
      <c r="V69" s="237"/>
      <c r="W69" s="237"/>
      <c r="X69" s="237"/>
      <c r="Y69" s="499" t="b">
        <f t="shared" si="16"/>
        <v>1</v>
      </c>
      <c r="Z69" s="500">
        <f t="shared" si="17"/>
        <v>0.75</v>
      </c>
      <c r="AA69" s="501" t="b">
        <f t="shared" si="18"/>
        <v>1</v>
      </c>
      <c r="AB69" s="501" t="b">
        <f t="shared" si="19"/>
        <v>1</v>
      </c>
    </row>
    <row r="70" spans="1:28" ht="30">
      <c r="A70" s="210">
        <v>68</v>
      </c>
      <c r="B70" s="504" t="s">
        <v>181</v>
      </c>
      <c r="C70" s="377" t="s">
        <v>67</v>
      </c>
      <c r="D70" s="470" t="s">
        <v>142</v>
      </c>
      <c r="E70" s="522">
        <v>2403092</v>
      </c>
      <c r="F70" s="378" t="s">
        <v>411</v>
      </c>
      <c r="G70" s="384" t="s">
        <v>230</v>
      </c>
      <c r="H70" s="379" t="s">
        <v>121</v>
      </c>
      <c r="I70" s="380">
        <v>0.84799999999999998</v>
      </c>
      <c r="J70" s="381" t="s">
        <v>441</v>
      </c>
      <c r="K70" s="382">
        <v>9376434</v>
      </c>
      <c r="L70" s="383">
        <v>7032325</v>
      </c>
      <c r="M70" s="203">
        <v>2344109</v>
      </c>
      <c r="N70" s="521">
        <v>0.75</v>
      </c>
      <c r="O70" s="202"/>
      <c r="P70" s="383">
        <v>7032325</v>
      </c>
      <c r="Q70" s="382"/>
      <c r="R70" s="237"/>
      <c r="S70" s="237"/>
      <c r="T70" s="237"/>
      <c r="U70" s="237"/>
      <c r="V70" s="237"/>
      <c r="W70" s="237"/>
      <c r="X70" s="237"/>
      <c r="Y70" s="499" t="b">
        <f t="shared" si="16"/>
        <v>1</v>
      </c>
      <c r="Z70" s="500">
        <f t="shared" si="17"/>
        <v>0.75</v>
      </c>
      <c r="AA70" s="501" t="b">
        <f t="shared" si="18"/>
        <v>1</v>
      </c>
      <c r="AB70" s="501" t="b">
        <f t="shared" si="19"/>
        <v>1</v>
      </c>
    </row>
    <row r="71" spans="1:28" ht="60">
      <c r="A71" s="208">
        <v>69</v>
      </c>
      <c r="B71" s="523" t="s">
        <v>342</v>
      </c>
      <c r="C71" s="214" t="s">
        <v>66</v>
      </c>
      <c r="D71" s="467" t="s">
        <v>102</v>
      </c>
      <c r="E71" s="517">
        <v>2478011</v>
      </c>
      <c r="F71" s="215" t="s">
        <v>344</v>
      </c>
      <c r="G71" s="524" t="s">
        <v>343</v>
      </c>
      <c r="H71" s="216" t="s">
        <v>121</v>
      </c>
      <c r="I71" s="217">
        <v>0.85099999999999998</v>
      </c>
      <c r="J71" s="228" t="s">
        <v>864</v>
      </c>
      <c r="K71" s="238">
        <v>7022716</v>
      </c>
      <c r="L71" s="207">
        <f>P71+Q71</f>
        <v>3511358</v>
      </c>
      <c r="M71" s="198">
        <f>K71-L71</f>
        <v>3511358</v>
      </c>
      <c r="N71" s="518">
        <v>0.5</v>
      </c>
      <c r="O71" s="197">
        <v>0</v>
      </c>
      <c r="P71" s="207">
        <v>2457950.5</v>
      </c>
      <c r="Q71" s="238">
        <v>1053407.5</v>
      </c>
      <c r="R71" s="237"/>
      <c r="S71" s="237"/>
      <c r="T71" s="237"/>
      <c r="U71" s="237"/>
      <c r="V71" s="237"/>
      <c r="W71" s="237"/>
      <c r="X71" s="237"/>
      <c r="Y71" s="499" t="b">
        <f t="shared" si="16"/>
        <v>1</v>
      </c>
      <c r="Z71" s="500">
        <f t="shared" si="17"/>
        <v>0.5</v>
      </c>
      <c r="AA71" s="501" t="b">
        <f t="shared" si="18"/>
        <v>1</v>
      </c>
      <c r="AB71" s="501" t="b">
        <f t="shared" si="19"/>
        <v>1</v>
      </c>
    </row>
    <row r="72" spans="1:28" ht="38.25">
      <c r="A72" s="470">
        <v>70</v>
      </c>
      <c r="B72" s="463" t="s">
        <v>346</v>
      </c>
      <c r="C72" s="464" t="s">
        <v>67</v>
      </c>
      <c r="D72" s="465" t="s">
        <v>874</v>
      </c>
      <c r="E72" s="525">
        <v>2410012</v>
      </c>
      <c r="F72" s="465" t="s">
        <v>418</v>
      </c>
      <c r="G72" s="466" t="s">
        <v>358</v>
      </c>
      <c r="H72" s="465" t="s">
        <v>121</v>
      </c>
      <c r="I72" s="472">
        <v>0.26300000000000001</v>
      </c>
      <c r="J72" s="473" t="s">
        <v>440</v>
      </c>
      <c r="K72" s="474">
        <v>2383525</v>
      </c>
      <c r="L72" s="475">
        <f>ROUND(K72*N72,2)</f>
        <v>1191762.5</v>
      </c>
      <c r="M72" s="476">
        <f t="shared" ref="M72:M74" si="20">K72-L72</f>
        <v>1191762.5</v>
      </c>
      <c r="N72" s="477">
        <v>0.5</v>
      </c>
      <c r="O72" s="475">
        <v>0</v>
      </c>
      <c r="P72" s="475">
        <v>1191762.5</v>
      </c>
      <c r="Q72" s="478"/>
      <c r="R72" s="479"/>
      <c r="S72" s="479"/>
      <c r="T72" s="237"/>
      <c r="U72" s="237"/>
      <c r="V72" s="237"/>
      <c r="W72" s="237"/>
      <c r="X72" s="237"/>
      <c r="Y72" s="499" t="b">
        <f t="shared" si="16"/>
        <v>1</v>
      </c>
      <c r="Z72" s="500">
        <f t="shared" si="17"/>
        <v>0.5</v>
      </c>
      <c r="AA72" s="501" t="b">
        <f t="shared" si="18"/>
        <v>1</v>
      </c>
      <c r="AB72" s="501" t="b">
        <f t="shared" si="19"/>
        <v>1</v>
      </c>
    </row>
    <row r="73" spans="1:28" ht="38.25">
      <c r="A73" s="467">
        <v>71</v>
      </c>
      <c r="B73" s="467" t="s">
        <v>349</v>
      </c>
      <c r="C73" s="468" t="s">
        <v>66</v>
      </c>
      <c r="D73" s="224" t="s">
        <v>875</v>
      </c>
      <c r="E73" s="526">
        <v>2408021</v>
      </c>
      <c r="F73" s="224" t="s">
        <v>292</v>
      </c>
      <c r="G73" s="469" t="s">
        <v>839</v>
      </c>
      <c r="H73" s="224" t="s">
        <v>123</v>
      </c>
      <c r="I73" s="480">
        <v>9.9000000000000005E-2</v>
      </c>
      <c r="J73" s="481" t="s">
        <v>439</v>
      </c>
      <c r="K73" s="482">
        <v>2707906</v>
      </c>
      <c r="L73" s="483">
        <f t="shared" ref="L73:L74" si="21">ROUND(K73*N73,2)</f>
        <v>1353953</v>
      </c>
      <c r="M73" s="484">
        <f t="shared" ref="M73:M74" si="22">K73-L73</f>
        <v>1353953</v>
      </c>
      <c r="N73" s="485">
        <v>0.5</v>
      </c>
      <c r="O73" s="483">
        <v>0</v>
      </c>
      <c r="P73" s="483">
        <v>150000</v>
      </c>
      <c r="Q73" s="486">
        <v>600000</v>
      </c>
      <c r="R73" s="486">
        <v>603953</v>
      </c>
      <c r="S73" s="479"/>
      <c r="T73" s="237"/>
      <c r="U73" s="237"/>
      <c r="V73" s="237"/>
      <c r="W73" s="237"/>
      <c r="X73" s="237"/>
      <c r="Y73" s="499" t="b">
        <f t="shared" si="16"/>
        <v>1</v>
      </c>
      <c r="Z73" s="500">
        <f t="shared" si="17"/>
        <v>0.5</v>
      </c>
      <c r="AA73" s="501" t="b">
        <f t="shared" si="18"/>
        <v>1</v>
      </c>
      <c r="AB73" s="501" t="b">
        <f t="shared" si="19"/>
        <v>1</v>
      </c>
    </row>
    <row r="74" spans="1:28" s="122" customFormat="1" ht="38.25">
      <c r="A74" s="467" t="s">
        <v>872</v>
      </c>
      <c r="B74" s="463" t="s">
        <v>350</v>
      </c>
      <c r="C74" s="464" t="s">
        <v>67</v>
      </c>
      <c r="D74" s="465" t="s">
        <v>877</v>
      </c>
      <c r="E74" s="471">
        <v>2473011</v>
      </c>
      <c r="F74" s="465" t="s">
        <v>419</v>
      </c>
      <c r="G74" s="466" t="s">
        <v>361</v>
      </c>
      <c r="H74" s="465" t="s">
        <v>123</v>
      </c>
      <c r="I74" s="472">
        <v>0.89300000000000002</v>
      </c>
      <c r="J74" s="473" t="s">
        <v>405</v>
      </c>
      <c r="K74" s="474">
        <v>5290698</v>
      </c>
      <c r="L74" s="475">
        <v>1258140</v>
      </c>
      <c r="M74" s="476">
        <f t="shared" si="22"/>
        <v>4032558</v>
      </c>
      <c r="N74" s="477">
        <v>0.5</v>
      </c>
      <c r="O74" s="475">
        <v>0</v>
      </c>
      <c r="P74" s="475">
        <v>1258140</v>
      </c>
      <c r="Q74" s="486"/>
      <c r="R74" s="486"/>
      <c r="S74" s="486"/>
      <c r="T74" s="206"/>
      <c r="U74" s="206"/>
      <c r="V74" s="206"/>
      <c r="W74" s="206"/>
      <c r="X74" s="206"/>
      <c r="Y74" s="499" t="b">
        <f t="shared" si="8"/>
        <v>1</v>
      </c>
      <c r="Z74" s="500">
        <f t="shared" si="9"/>
        <v>0.23780000000000001</v>
      </c>
      <c r="AA74" s="501" t="b">
        <f t="shared" si="10"/>
        <v>0</v>
      </c>
      <c r="AB74" s="501" t="b">
        <f t="shared" si="11"/>
        <v>1</v>
      </c>
    </row>
    <row r="75" spans="1:28" ht="20.100000000000001" customHeight="1">
      <c r="A75" s="527" t="s">
        <v>42</v>
      </c>
      <c r="B75" s="528"/>
      <c r="C75" s="528"/>
      <c r="D75" s="528"/>
      <c r="E75" s="528"/>
      <c r="F75" s="528"/>
      <c r="G75" s="528"/>
      <c r="H75" s="529"/>
      <c r="I75" s="530">
        <f>SUM(I3:I74)</f>
        <v>53.106000000000009</v>
      </c>
      <c r="J75" s="531" t="s">
        <v>13</v>
      </c>
      <c r="K75" s="203">
        <f>SUM(K3:K74)</f>
        <v>174116487.75999999</v>
      </c>
      <c r="L75" s="203">
        <f>SUM(L3:L74)</f>
        <v>99295513.609999999</v>
      </c>
      <c r="M75" s="203">
        <f>SUM(M3:M74)</f>
        <v>74820974.150000006</v>
      </c>
      <c r="N75" s="532" t="s">
        <v>13</v>
      </c>
      <c r="O75" s="203">
        <f>SUM(O3:O74)</f>
        <v>6092613.1999999993</v>
      </c>
      <c r="P75" s="203">
        <f>SUM(P3:P74)</f>
        <v>68898122.400000006</v>
      </c>
      <c r="Q75" s="203">
        <f>SUM(Q3:Q74)</f>
        <v>20859273</v>
      </c>
      <c r="R75" s="203">
        <f>SUM(R3:R74)</f>
        <v>3445505.0100000002</v>
      </c>
      <c r="S75" s="203">
        <f>SUM(S3:S74)</f>
        <v>0</v>
      </c>
      <c r="T75" s="203">
        <f>SUM(T3:T74)</f>
        <v>0</v>
      </c>
      <c r="U75" s="203">
        <f>SUM(U3:U74)</f>
        <v>0</v>
      </c>
      <c r="V75" s="203">
        <f>SUM(V3:V74)</f>
        <v>0</v>
      </c>
      <c r="W75" s="203">
        <f>SUM(W3:W74)</f>
        <v>0</v>
      </c>
      <c r="X75" s="203">
        <f>SUM(X3:X74)</f>
        <v>0</v>
      </c>
      <c r="Y75" s="499" t="b">
        <f t="shared" ref="Y75:Y78" si="23">L75=SUM(O75:X75)</f>
        <v>1</v>
      </c>
      <c r="Z75" s="500">
        <f t="shared" ref="Z75:Z78" si="24">ROUND(L75/K75,4)</f>
        <v>0.57030000000000003</v>
      </c>
      <c r="AA75" s="501" t="b">
        <f t="shared" ref="AA75:AA78" si="25">Z75=N75</f>
        <v>0</v>
      </c>
      <c r="AB75" s="501" t="b">
        <f t="shared" ref="AB75:AB78" si="26">K75=L75+M75</f>
        <v>1</v>
      </c>
    </row>
    <row r="76" spans="1:28" s="122" customFormat="1" ht="20.100000000000001" customHeight="1">
      <c r="A76" s="533" t="s">
        <v>35</v>
      </c>
      <c r="B76" s="534"/>
      <c r="C76" s="534"/>
      <c r="D76" s="534"/>
      <c r="E76" s="534"/>
      <c r="F76" s="534"/>
      <c r="G76" s="534"/>
      <c r="H76" s="535"/>
      <c r="I76" s="536">
        <f>SUMIF($C$3:$C$74,"K",I3:I74)</f>
        <v>18.040999999999997</v>
      </c>
      <c r="J76" s="537" t="s">
        <v>13</v>
      </c>
      <c r="K76" s="198">
        <f>SUMIF($C$3:$C$74,"K",K3:K74)</f>
        <v>57499015.699999996</v>
      </c>
      <c r="L76" s="198">
        <f>SUMIF($C$3:$C$74,"K",L3:L74)</f>
        <v>33334906.359999999</v>
      </c>
      <c r="M76" s="198">
        <f>SUMIF($C$3:$C$74,"K",M3:M74)</f>
        <v>24164109.34</v>
      </c>
      <c r="N76" s="538" t="s">
        <v>13</v>
      </c>
      <c r="O76" s="198">
        <f>SUMIF($C$3:$C$74,"K",O3:O74)</f>
        <v>6092613.1999999993</v>
      </c>
      <c r="P76" s="198">
        <f>SUMIF($C$3:$C$74,"K",P3:P74)</f>
        <v>13695614.299999999</v>
      </c>
      <c r="Q76" s="198">
        <f>SUMIF($C$3:$C$74,"K",Q3:Q74)</f>
        <v>11169440.700000001</v>
      </c>
      <c r="R76" s="198">
        <f>SUMIF($C$3:$C$74,"K",R3:R74)</f>
        <v>2377238.16</v>
      </c>
      <c r="S76" s="198">
        <f>SUMIF($C$3:$C$74,"K",S3:S74)</f>
        <v>0</v>
      </c>
      <c r="T76" s="198">
        <f>SUMIF($C$3:$C$74,"K",T3:T74)</f>
        <v>0</v>
      </c>
      <c r="U76" s="198">
        <f>SUMIF($C$3:$C$74,"K",U3:U74)</f>
        <v>0</v>
      </c>
      <c r="V76" s="198">
        <f>SUMIF($C$3:$C$74,"K",V3:V74)</f>
        <v>0</v>
      </c>
      <c r="W76" s="198">
        <f>SUMIF($C$3:$C$74,"K",W3:W74)</f>
        <v>0</v>
      </c>
      <c r="X76" s="198">
        <f>SUMIF($C$3:$C$74,"K",X3:X74)</f>
        <v>0</v>
      </c>
      <c r="Y76" s="499" t="b">
        <f t="shared" si="23"/>
        <v>1</v>
      </c>
      <c r="Z76" s="500">
        <f t="shared" si="24"/>
        <v>0.57969999999999999</v>
      </c>
      <c r="AA76" s="501" t="b">
        <f t="shared" si="25"/>
        <v>0</v>
      </c>
      <c r="AB76" s="501" t="b">
        <f t="shared" si="26"/>
        <v>1</v>
      </c>
    </row>
    <row r="77" spans="1:28" ht="20.100000000000001" customHeight="1">
      <c r="A77" s="527" t="s">
        <v>36</v>
      </c>
      <c r="B77" s="528"/>
      <c r="C77" s="528"/>
      <c r="D77" s="528"/>
      <c r="E77" s="528"/>
      <c r="F77" s="528"/>
      <c r="G77" s="528"/>
      <c r="H77" s="529"/>
      <c r="I77" s="530">
        <f>SUMIF($C$3:$C$74,"N",I3:I74)</f>
        <v>27.940000000000005</v>
      </c>
      <c r="J77" s="531" t="s">
        <v>13</v>
      </c>
      <c r="K77" s="203">
        <f>SUMIF($C$3:$C$74,"N",K3:K74)</f>
        <v>78545234.310000002</v>
      </c>
      <c r="L77" s="203">
        <f>SUMIF($C$3:$C$74,"N",L3:L74)</f>
        <v>46455774.530000001</v>
      </c>
      <c r="M77" s="203">
        <f>SUMIF($C$3:$C$74,"N",M3:M74)</f>
        <v>32089459.780000001</v>
      </c>
      <c r="N77" s="532" t="s">
        <v>13</v>
      </c>
      <c r="O77" s="203">
        <f>SUMIF($C$3:$C$74,"N",O3:O74)</f>
        <v>0</v>
      </c>
      <c r="P77" s="203">
        <f>SUMIF($C$3:$C$74,"N",P3:P74)</f>
        <v>46455774.530000001</v>
      </c>
      <c r="Q77" s="203">
        <f>SUMIF($C$3:$C$74,"N",Q3:Q74)</f>
        <v>0</v>
      </c>
      <c r="R77" s="203">
        <f>SUMIF($C$3:$C$74,"N",R3:R74)</f>
        <v>0</v>
      </c>
      <c r="S77" s="203">
        <f>SUMIF($C$3:$C$74,"N",S3:S74)</f>
        <v>0</v>
      </c>
      <c r="T77" s="203">
        <f>SUMIF($C$3:$C$74,"N",T3:T74)</f>
        <v>0</v>
      </c>
      <c r="U77" s="203">
        <f>SUMIF($C$3:$C$74,"N",U3:U74)</f>
        <v>0</v>
      </c>
      <c r="V77" s="203">
        <f>SUMIF($C$3:$C$74,"N",V3:V74)</f>
        <v>0</v>
      </c>
      <c r="W77" s="203">
        <f>SUMIF($C$3:$C$74,"N",W3:W74)</f>
        <v>0</v>
      </c>
      <c r="X77" s="203">
        <f>SUMIF($C$3:$C$74,"N",X3:X74)</f>
        <v>0</v>
      </c>
      <c r="Y77" s="499" t="b">
        <f t="shared" si="23"/>
        <v>1</v>
      </c>
      <c r="Z77" s="500">
        <f t="shared" si="24"/>
        <v>0.59150000000000003</v>
      </c>
      <c r="AA77" s="501" t="b">
        <f t="shared" si="25"/>
        <v>0</v>
      </c>
      <c r="AB77" s="501" t="b">
        <f t="shared" si="26"/>
        <v>1</v>
      </c>
    </row>
    <row r="78" spans="1:28" s="122" customFormat="1" ht="20.100000000000001" customHeight="1">
      <c r="A78" s="533" t="s">
        <v>37</v>
      </c>
      <c r="B78" s="534"/>
      <c r="C78" s="534"/>
      <c r="D78" s="534"/>
      <c r="E78" s="534"/>
      <c r="F78" s="534"/>
      <c r="G78" s="534"/>
      <c r="H78" s="535"/>
      <c r="I78" s="536">
        <f>SUMIF($C$3:$C$74,"W",I3:I74)</f>
        <v>7.1250000000000009</v>
      </c>
      <c r="J78" s="537" t="s">
        <v>13</v>
      </c>
      <c r="K78" s="198">
        <f>SUMIF($C$3:$C$74,"W",K3:K74)</f>
        <v>38072237.75</v>
      </c>
      <c r="L78" s="198">
        <f>SUMIF($C$3:$C$74,"W",L3:L74)</f>
        <v>19504832.719999999</v>
      </c>
      <c r="M78" s="198">
        <f>SUMIF($C$3:$C$74,"W",M3:M74)</f>
        <v>18567405.030000001</v>
      </c>
      <c r="N78" s="538" t="s">
        <v>13</v>
      </c>
      <c r="O78" s="198">
        <f>SUMIF($C$3:$C$74,"W",O3:O74)</f>
        <v>0</v>
      </c>
      <c r="P78" s="198">
        <f>SUMIF($C$3:$C$74,"W",P3:P74)</f>
        <v>8746733.5700000003</v>
      </c>
      <c r="Q78" s="198">
        <f>SUMIF($C$3:$C$74,"W",Q3:Q74)</f>
        <v>9689832.3000000007</v>
      </c>
      <c r="R78" s="198">
        <f>SUMIF($C$3:$C$74,"W",R3:R74)</f>
        <v>1068266.8500000001</v>
      </c>
      <c r="S78" s="198">
        <f>SUMIF($C$3:$C$74,"W",S3:S74)</f>
        <v>0</v>
      </c>
      <c r="T78" s="198">
        <f>SUMIF($C$3:$C$74,"W",T3:T74)</f>
        <v>0</v>
      </c>
      <c r="U78" s="198">
        <f>SUMIF($C$3:$C$74,"W",U3:U74)</f>
        <v>0</v>
      </c>
      <c r="V78" s="198">
        <f>SUMIF($C$3:$C$74,"W",V3:V74)</f>
        <v>0</v>
      </c>
      <c r="W78" s="198">
        <f>SUMIF($C$3:$C$74,"W",W3:W74)</f>
        <v>0</v>
      </c>
      <c r="X78" s="198">
        <f>SUMIF($C$3:$C$74,"W",X3:X74)</f>
        <v>0</v>
      </c>
      <c r="Y78" s="499" t="b">
        <f t="shared" si="23"/>
        <v>1</v>
      </c>
      <c r="Z78" s="500">
        <f t="shared" si="24"/>
        <v>0.51229999999999998</v>
      </c>
      <c r="AA78" s="501" t="b">
        <f t="shared" si="25"/>
        <v>0</v>
      </c>
      <c r="AB78" s="501" t="b">
        <f t="shared" si="26"/>
        <v>1</v>
      </c>
    </row>
    <row r="79" spans="1:28" ht="15">
      <c r="A79" s="317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</row>
    <row r="80" spans="1:28">
      <c r="A80" s="319" t="s">
        <v>21</v>
      </c>
      <c r="L80" s="13"/>
      <c r="X80" s="230"/>
    </row>
    <row r="81" spans="1:25">
      <c r="A81" s="320" t="s">
        <v>22</v>
      </c>
      <c r="L81" s="387"/>
      <c r="P81" s="387"/>
      <c r="X81" s="230"/>
    </row>
    <row r="82" spans="1:25">
      <c r="A82" s="319" t="s">
        <v>40</v>
      </c>
      <c r="X82" s="230"/>
    </row>
    <row r="83" spans="1:25">
      <c r="A83" s="321" t="s">
        <v>25</v>
      </c>
      <c r="X83" s="230"/>
    </row>
    <row r="84" spans="1:25">
      <c r="A84" s="318"/>
      <c r="O84" s="230"/>
      <c r="P84" s="230"/>
      <c r="Q84" s="231"/>
      <c r="R84" s="230"/>
      <c r="S84" s="230"/>
      <c r="T84" s="230"/>
      <c r="U84" s="230"/>
      <c r="V84" s="230"/>
      <c r="W84" s="230"/>
      <c r="Y84" s="232"/>
    </row>
    <row r="85" spans="1:25">
      <c r="O85" s="230"/>
      <c r="P85" s="230"/>
      <c r="Q85" s="231"/>
      <c r="R85" s="230"/>
      <c r="S85" s="230"/>
      <c r="T85" s="230"/>
      <c r="U85" s="230"/>
      <c r="V85" s="230"/>
      <c r="W85" s="230"/>
      <c r="Y85" s="232"/>
    </row>
    <row r="86" spans="1:25">
      <c r="O86" s="230"/>
      <c r="P86" s="230"/>
      <c r="Q86" s="231"/>
      <c r="R86" s="230"/>
      <c r="S86" s="230"/>
      <c r="T86" s="230"/>
      <c r="U86" s="230"/>
      <c r="V86" s="230"/>
      <c r="W86" s="230"/>
      <c r="Y86" s="232"/>
    </row>
    <row r="87" spans="1:25">
      <c r="O87" s="230"/>
      <c r="P87" s="230"/>
      <c r="Q87" s="231"/>
      <c r="R87" s="230"/>
      <c r="S87" s="230"/>
      <c r="T87" s="230"/>
      <c r="U87" s="230"/>
      <c r="V87" s="230"/>
      <c r="W87" s="230"/>
      <c r="Y87" s="232"/>
    </row>
    <row r="88" spans="1:25">
      <c r="O88" s="230"/>
      <c r="P88" s="230"/>
      <c r="Q88" s="231"/>
      <c r="R88" s="230"/>
      <c r="S88" s="230"/>
      <c r="T88" s="230"/>
      <c r="U88" s="230"/>
      <c r="V88" s="230"/>
      <c r="W88" s="230"/>
      <c r="Y88" s="232"/>
    </row>
    <row r="89" spans="1:25">
      <c r="O89" s="230"/>
      <c r="P89" s="230"/>
      <c r="Q89" s="231"/>
      <c r="R89" s="230"/>
      <c r="S89" s="230"/>
      <c r="T89" s="230"/>
      <c r="U89" s="230"/>
      <c r="V89" s="230"/>
      <c r="W89" s="230"/>
      <c r="Y89" s="232"/>
    </row>
    <row r="90" spans="1:25">
      <c r="O90" s="230"/>
      <c r="P90" s="230"/>
      <c r="Q90" s="231"/>
      <c r="R90" s="230"/>
      <c r="S90" s="230"/>
      <c r="T90" s="230"/>
      <c r="U90" s="230"/>
      <c r="V90" s="230"/>
      <c r="W90" s="230"/>
      <c r="Y90" s="232"/>
    </row>
    <row r="91" spans="1:25">
      <c r="O91" s="230"/>
      <c r="P91" s="230"/>
      <c r="Q91" s="231"/>
      <c r="R91" s="230"/>
      <c r="S91" s="230"/>
      <c r="T91" s="230"/>
      <c r="U91" s="230"/>
      <c r="V91" s="230"/>
      <c r="W91" s="230"/>
      <c r="Y91" s="232"/>
    </row>
    <row r="92" spans="1:25">
      <c r="O92" s="230"/>
      <c r="P92" s="230"/>
      <c r="Q92" s="231"/>
      <c r="R92" s="230"/>
      <c r="S92" s="230"/>
      <c r="T92" s="230"/>
      <c r="U92" s="230"/>
      <c r="V92" s="230"/>
      <c r="W92" s="230"/>
      <c r="Y92" s="232"/>
    </row>
  </sheetData>
  <mergeCells count="19">
    <mergeCell ref="O1:X1"/>
    <mergeCell ref="L1:L2"/>
    <mergeCell ref="M1:M2"/>
    <mergeCell ref="A75:H75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  <mergeCell ref="A78:H78"/>
    <mergeCell ref="A77:H77"/>
    <mergeCell ref="E1:E2"/>
    <mergeCell ref="A76:H76"/>
    <mergeCell ref="N1:N2"/>
  </mergeCells>
  <conditionalFormatting sqref="Y3:AB78">
    <cfRule type="cellIs" dxfId="4" priority="38" operator="equal">
      <formula>FALSE</formula>
    </cfRule>
  </conditionalFormatting>
  <conditionalFormatting sqref="Y3:AA78">
    <cfRule type="containsText" dxfId="3" priority="36" operator="containsText" text="fałsz">
      <formula>NOT(ISERROR(SEARCH("fałsz",Y3)))</formula>
    </cfRule>
  </conditionalFormatting>
  <conditionalFormatting sqref="G68">
    <cfRule type="duplicateValues" dxfId="2" priority="1"/>
  </conditionalFormatting>
  <dataValidations count="5">
    <dataValidation type="custom" allowBlank="1" showInputMessage="1" showErrorMessage="1" sqref="H3:H19 D3:D67 G20:G67 G69 B3:B70 D69:D70 B72:B74 G71:G74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4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0"/>
  <sheetViews>
    <sheetView showGridLines="0" view="pageBreakPreview" zoomScaleNormal="78" zoomScaleSheetLayoutView="100" workbookViewId="0">
      <selection sqref="A1:XFD1048576"/>
    </sheetView>
  </sheetViews>
  <sheetFormatPr defaultColWidth="9.140625" defaultRowHeight="15"/>
  <cols>
    <col min="1" max="1" width="5.140625" style="171" customWidth="1"/>
    <col min="2" max="2" width="10.28515625" style="169" customWidth="1"/>
    <col min="3" max="3" width="11.42578125" style="169" customWidth="1"/>
    <col min="4" max="4" width="19" style="169" customWidth="1"/>
    <col min="5" max="5" width="11.42578125" style="169" customWidth="1"/>
    <col min="6" max="6" width="53.85546875" style="33" customWidth="1"/>
    <col min="7" max="7" width="9.5703125" style="169" customWidth="1"/>
    <col min="8" max="8" width="12" style="33" customWidth="1"/>
    <col min="9" max="10" width="15.7109375" style="169" customWidth="1"/>
    <col min="11" max="11" width="16.7109375" style="33" customWidth="1"/>
    <col min="12" max="12" width="15.7109375" style="33" customWidth="1"/>
    <col min="13" max="13" width="12.5703125" style="171" customWidth="1"/>
    <col min="14" max="14" width="14.5703125" style="33" customWidth="1"/>
    <col min="15" max="22" width="15.7109375" style="33" customWidth="1"/>
    <col min="23" max="23" width="15.7109375" style="235" customWidth="1"/>
    <col min="24" max="27" width="15.7109375" style="33" customWidth="1"/>
    <col min="28" max="16384" width="9.140625" style="33"/>
  </cols>
  <sheetData>
    <row r="1" spans="1:28" s="233" customFormat="1" ht="20.100000000000001" customHeight="1">
      <c r="A1" s="448" t="s">
        <v>3</v>
      </c>
      <c r="B1" s="448" t="s">
        <v>4</v>
      </c>
      <c r="C1" s="449" t="s">
        <v>832</v>
      </c>
      <c r="D1" s="451" t="s">
        <v>5</v>
      </c>
      <c r="E1" s="449" t="s">
        <v>30</v>
      </c>
      <c r="F1" s="451" t="s">
        <v>6</v>
      </c>
      <c r="G1" s="448" t="s">
        <v>23</v>
      </c>
      <c r="H1" s="448" t="s">
        <v>7</v>
      </c>
      <c r="I1" s="448" t="s">
        <v>20</v>
      </c>
      <c r="J1" s="448" t="s">
        <v>8</v>
      </c>
      <c r="K1" s="448" t="s">
        <v>9</v>
      </c>
      <c r="L1" s="451" t="s">
        <v>12</v>
      </c>
      <c r="M1" s="448" t="s">
        <v>10</v>
      </c>
      <c r="N1" s="448" t="s">
        <v>11</v>
      </c>
      <c r="O1" s="448"/>
      <c r="P1" s="448"/>
      <c r="Q1" s="448"/>
      <c r="R1" s="448"/>
      <c r="S1" s="448"/>
      <c r="T1" s="448"/>
      <c r="U1" s="448"/>
      <c r="V1" s="448"/>
      <c r="W1" s="448"/>
    </row>
    <row r="2" spans="1:28" s="233" customFormat="1" ht="20.100000000000001" customHeight="1">
      <c r="A2" s="448"/>
      <c r="B2" s="448"/>
      <c r="C2" s="450"/>
      <c r="D2" s="452"/>
      <c r="E2" s="450"/>
      <c r="F2" s="452"/>
      <c r="G2" s="448"/>
      <c r="H2" s="448"/>
      <c r="I2" s="448"/>
      <c r="J2" s="448"/>
      <c r="K2" s="448"/>
      <c r="L2" s="452"/>
      <c r="M2" s="448"/>
      <c r="N2" s="413">
        <v>2019</v>
      </c>
      <c r="O2" s="413">
        <v>2020</v>
      </c>
      <c r="P2" s="413">
        <v>2021</v>
      </c>
      <c r="Q2" s="413">
        <v>2022</v>
      </c>
      <c r="R2" s="413">
        <v>2023</v>
      </c>
      <c r="S2" s="413">
        <v>2024</v>
      </c>
      <c r="T2" s="413">
        <v>2025</v>
      </c>
      <c r="U2" s="413">
        <v>2026</v>
      </c>
      <c r="V2" s="413">
        <v>2027</v>
      </c>
      <c r="W2" s="413">
        <v>2028</v>
      </c>
      <c r="X2" s="171" t="s">
        <v>26</v>
      </c>
      <c r="Y2" s="171" t="s">
        <v>27</v>
      </c>
      <c r="Z2" s="171" t="s">
        <v>28</v>
      </c>
      <c r="AA2" s="234" t="s">
        <v>29</v>
      </c>
    </row>
    <row r="3" spans="1:28" s="180" customFormat="1" ht="58.9" customHeight="1">
      <c r="A3" s="135">
        <v>1</v>
      </c>
      <c r="B3" s="134" t="s">
        <v>364</v>
      </c>
      <c r="C3" s="147"/>
      <c r="D3" s="134" t="s">
        <v>840</v>
      </c>
      <c r="E3" s="145">
        <v>2411</v>
      </c>
      <c r="F3" s="242" t="s">
        <v>375</v>
      </c>
      <c r="G3" s="134" t="s">
        <v>123</v>
      </c>
      <c r="H3" s="175"/>
      <c r="I3" s="175"/>
      <c r="J3" s="175"/>
      <c r="K3" s="132"/>
      <c r="L3" s="133"/>
      <c r="M3" s="132"/>
      <c r="N3" s="132"/>
      <c r="O3" s="132"/>
      <c r="P3" s="132"/>
      <c r="Q3" s="133"/>
      <c r="R3" s="133"/>
      <c r="S3" s="133"/>
      <c r="T3" s="133"/>
      <c r="U3" s="133"/>
      <c r="V3" s="133"/>
      <c r="W3" s="133"/>
      <c r="X3" s="176" t="b">
        <f t="shared" ref="X3" si="0">K3=SUM(N3:W3)</f>
        <v>1</v>
      </c>
      <c r="Y3" s="177" t="e">
        <f t="shared" ref="Y3:Y6" si="1">ROUND(K3/J3,4)</f>
        <v>#DIV/0!</v>
      </c>
      <c r="Z3" s="178" t="e">
        <f t="shared" ref="Z3:Z6" si="2">Y3=M3</f>
        <v>#DIV/0!</v>
      </c>
      <c r="AA3" s="178" t="b">
        <f t="shared" ref="AA3:AA6" si="3">J3=K3+L3</f>
        <v>1</v>
      </c>
      <c r="AB3" s="179"/>
    </row>
    <row r="4" spans="1:28" s="180" customFormat="1" ht="48">
      <c r="A4" s="135">
        <v>2</v>
      </c>
      <c r="B4" s="134" t="s">
        <v>365</v>
      </c>
      <c r="C4" s="147"/>
      <c r="D4" s="134" t="s">
        <v>841</v>
      </c>
      <c r="E4" s="145">
        <v>2463011</v>
      </c>
      <c r="F4" s="242" t="s">
        <v>376</v>
      </c>
      <c r="G4" s="134" t="s">
        <v>123</v>
      </c>
      <c r="H4" s="175"/>
      <c r="I4" s="175"/>
      <c r="J4" s="175"/>
      <c r="K4" s="132"/>
      <c r="L4" s="133"/>
      <c r="M4" s="132"/>
      <c r="N4" s="132"/>
      <c r="O4" s="132"/>
      <c r="P4" s="132"/>
      <c r="Q4" s="133"/>
      <c r="R4" s="133"/>
      <c r="S4" s="133"/>
      <c r="T4" s="133"/>
      <c r="U4" s="133"/>
      <c r="V4" s="133"/>
      <c r="W4" s="133"/>
      <c r="X4" s="176" t="b">
        <f t="shared" ref="X4" si="4">K4=SUM(N4:W4)</f>
        <v>1</v>
      </c>
      <c r="Y4" s="177" t="e">
        <f t="shared" si="1"/>
        <v>#DIV/0!</v>
      </c>
      <c r="Z4" s="178" t="e">
        <f t="shared" si="2"/>
        <v>#DIV/0!</v>
      </c>
      <c r="AA4" s="178" t="b">
        <f t="shared" si="3"/>
        <v>1</v>
      </c>
      <c r="AB4" s="179"/>
    </row>
    <row r="5" spans="1:28" s="180" customFormat="1" ht="48">
      <c r="A5" s="135">
        <v>3</v>
      </c>
      <c r="B5" s="134" t="s">
        <v>366</v>
      </c>
      <c r="C5" s="147"/>
      <c r="D5" s="134" t="s">
        <v>842</v>
      </c>
      <c r="E5" s="145">
        <v>2475011</v>
      </c>
      <c r="F5" s="242" t="s">
        <v>377</v>
      </c>
      <c r="G5" s="134" t="s">
        <v>123</v>
      </c>
      <c r="H5" s="175"/>
      <c r="I5" s="175"/>
      <c r="J5" s="175"/>
      <c r="K5" s="132"/>
      <c r="L5" s="133"/>
      <c r="M5" s="132"/>
      <c r="N5" s="132"/>
      <c r="O5" s="132"/>
      <c r="P5" s="132"/>
      <c r="Q5" s="133"/>
      <c r="R5" s="133"/>
      <c r="S5" s="133"/>
      <c r="T5" s="133"/>
      <c r="U5" s="133"/>
      <c r="V5" s="133"/>
      <c r="W5" s="133"/>
      <c r="X5" s="176" t="b">
        <f t="shared" ref="X5" si="5">K5=SUM(N5:W5)</f>
        <v>1</v>
      </c>
      <c r="Y5" s="177" t="e">
        <f t="shared" si="1"/>
        <v>#DIV/0!</v>
      </c>
      <c r="Z5" s="178" t="e">
        <f t="shared" si="2"/>
        <v>#DIV/0!</v>
      </c>
      <c r="AA5" s="178" t="b">
        <f t="shared" si="3"/>
        <v>1</v>
      </c>
      <c r="AB5" s="179"/>
    </row>
    <row r="6" spans="1:28" s="186" customFormat="1" ht="60">
      <c r="A6" s="135">
        <v>4</v>
      </c>
      <c r="B6" s="181" t="s">
        <v>367</v>
      </c>
      <c r="C6" s="135"/>
      <c r="D6" s="181" t="s">
        <v>843</v>
      </c>
      <c r="E6" s="157">
        <v>2413</v>
      </c>
      <c r="F6" s="243" t="s">
        <v>378</v>
      </c>
      <c r="G6" s="135" t="s">
        <v>123</v>
      </c>
      <c r="H6" s="241"/>
      <c r="I6" s="241"/>
      <c r="J6" s="182"/>
      <c r="K6" s="46"/>
      <c r="L6" s="47"/>
      <c r="M6" s="132"/>
      <c r="N6" s="46"/>
      <c r="O6" s="47"/>
      <c r="P6" s="47"/>
      <c r="Q6" s="47"/>
      <c r="R6" s="47"/>
      <c r="S6" s="47"/>
      <c r="T6" s="47"/>
      <c r="U6" s="47"/>
      <c r="V6" s="47"/>
      <c r="W6" s="47"/>
      <c r="X6" s="174" t="b">
        <f t="shared" ref="X6" si="6">K6=SUM(N6:W6)</f>
        <v>1</v>
      </c>
      <c r="Y6" s="183" t="e">
        <f t="shared" si="1"/>
        <v>#DIV/0!</v>
      </c>
      <c r="Z6" s="184" t="e">
        <f t="shared" si="2"/>
        <v>#DIV/0!</v>
      </c>
      <c r="AA6" s="184" t="b">
        <f t="shared" si="3"/>
        <v>1</v>
      </c>
      <c r="AB6" s="185"/>
    </row>
    <row r="7" spans="1:28" s="186" customFormat="1" ht="24">
      <c r="A7" s="135">
        <v>5</v>
      </c>
      <c r="B7" s="181" t="s">
        <v>368</v>
      </c>
      <c r="C7" s="135" t="s">
        <v>67</v>
      </c>
      <c r="D7" s="181" t="s">
        <v>374</v>
      </c>
      <c r="E7" s="157">
        <v>2401</v>
      </c>
      <c r="F7" s="243" t="s">
        <v>379</v>
      </c>
      <c r="G7" s="135" t="s">
        <v>123</v>
      </c>
      <c r="H7" s="356">
        <v>0.45900000000000002</v>
      </c>
      <c r="I7" s="310" t="s">
        <v>422</v>
      </c>
      <c r="J7" s="182">
        <v>3000000</v>
      </c>
      <c r="K7" s="46">
        <f t="shared" ref="K7:K10" si="7">ROUND(J7*M7,2)</f>
        <v>1650000</v>
      </c>
      <c r="L7" s="47">
        <f t="shared" ref="L7:L10" si="8">J7-K7</f>
        <v>1350000</v>
      </c>
      <c r="M7" s="172">
        <v>0.55000000000000004</v>
      </c>
      <c r="N7" s="46">
        <v>0</v>
      </c>
      <c r="O7" s="46">
        <v>1650000</v>
      </c>
      <c r="P7" s="47"/>
      <c r="Q7" s="47"/>
      <c r="R7" s="47"/>
      <c r="S7" s="47"/>
      <c r="T7" s="47"/>
      <c r="U7" s="47"/>
      <c r="V7" s="47"/>
      <c r="W7" s="47"/>
      <c r="X7" s="174" t="b">
        <f t="shared" ref="X7" si="9">K7=SUM(N7:W7)</f>
        <v>1</v>
      </c>
      <c r="Y7" s="183">
        <f t="shared" ref="Y7:Y9" si="10">ROUND(K7/J7,4)</f>
        <v>0.55000000000000004</v>
      </c>
      <c r="Z7" s="184" t="b">
        <f t="shared" ref="Z7:Z9" si="11">Y7=M7</f>
        <v>1</v>
      </c>
      <c r="AA7" s="184" t="b">
        <f t="shared" ref="AA7:AA9" si="12">J7=K7+L7</f>
        <v>1</v>
      </c>
      <c r="AB7" s="185"/>
    </row>
    <row r="8" spans="1:28" s="186" customFormat="1" ht="24">
      <c r="A8" s="135">
        <v>6</v>
      </c>
      <c r="B8" s="181" t="s">
        <v>369</v>
      </c>
      <c r="C8" s="135" t="s">
        <v>67</v>
      </c>
      <c r="D8" s="181" t="s">
        <v>101</v>
      </c>
      <c r="E8" s="157">
        <v>2404</v>
      </c>
      <c r="F8" s="243" t="s">
        <v>380</v>
      </c>
      <c r="G8" s="135" t="s">
        <v>123</v>
      </c>
      <c r="H8" s="356">
        <v>3.0289999999999999</v>
      </c>
      <c r="I8" s="310" t="s">
        <v>423</v>
      </c>
      <c r="J8" s="182">
        <v>6150000</v>
      </c>
      <c r="K8" s="46">
        <f t="shared" si="7"/>
        <v>3075000</v>
      </c>
      <c r="L8" s="47">
        <f t="shared" si="8"/>
        <v>3075000</v>
      </c>
      <c r="M8" s="172">
        <v>0.5</v>
      </c>
      <c r="N8" s="46">
        <v>0</v>
      </c>
      <c r="O8" s="47">
        <v>3075000</v>
      </c>
      <c r="P8" s="47"/>
      <c r="Q8" s="47"/>
      <c r="R8" s="47"/>
      <c r="S8" s="47"/>
      <c r="T8" s="47"/>
      <c r="U8" s="47"/>
      <c r="V8" s="47"/>
      <c r="W8" s="47"/>
      <c r="X8" s="174" t="b">
        <f t="shared" ref="X8:X9" si="13">K8=SUM(N8:W8)</f>
        <v>1</v>
      </c>
      <c r="Y8" s="183">
        <f t="shared" si="10"/>
        <v>0.5</v>
      </c>
      <c r="Z8" s="184" t="b">
        <f t="shared" si="11"/>
        <v>1</v>
      </c>
      <c r="AA8" s="184" t="b">
        <f t="shared" si="12"/>
        <v>1</v>
      </c>
      <c r="AB8" s="185"/>
    </row>
    <row r="9" spans="1:28" s="186" customFormat="1" ht="24">
      <c r="A9" s="135">
        <v>7</v>
      </c>
      <c r="B9" s="181" t="s">
        <v>370</v>
      </c>
      <c r="C9" s="135" t="s">
        <v>67</v>
      </c>
      <c r="D9" s="181" t="s">
        <v>373</v>
      </c>
      <c r="E9" s="157">
        <v>2475011</v>
      </c>
      <c r="F9" s="243" t="s">
        <v>381</v>
      </c>
      <c r="G9" s="135" t="s">
        <v>123</v>
      </c>
      <c r="H9" s="356">
        <v>1.6879999999999999</v>
      </c>
      <c r="I9" s="310" t="s">
        <v>421</v>
      </c>
      <c r="J9" s="182">
        <v>9182604</v>
      </c>
      <c r="K9" s="46">
        <f t="shared" si="7"/>
        <v>4591302</v>
      </c>
      <c r="L9" s="47">
        <f t="shared" si="8"/>
        <v>4591302</v>
      </c>
      <c r="M9" s="172">
        <v>0.5</v>
      </c>
      <c r="N9" s="46">
        <v>0</v>
      </c>
      <c r="O9" s="47">
        <v>4591302</v>
      </c>
      <c r="P9" s="47"/>
      <c r="Q9" s="47"/>
      <c r="R9" s="47"/>
      <c r="S9" s="47"/>
      <c r="T9" s="47"/>
      <c r="U9" s="47"/>
      <c r="V9" s="47"/>
      <c r="W9" s="47"/>
      <c r="X9" s="174" t="b">
        <f t="shared" si="13"/>
        <v>1</v>
      </c>
      <c r="Y9" s="183">
        <f t="shared" si="10"/>
        <v>0.5</v>
      </c>
      <c r="Z9" s="184" t="b">
        <f t="shared" si="11"/>
        <v>1</v>
      </c>
      <c r="AA9" s="184" t="b">
        <f t="shared" si="12"/>
        <v>1</v>
      </c>
      <c r="AB9" s="185"/>
    </row>
    <row r="10" spans="1:28" s="180" customFormat="1" ht="24">
      <c r="A10" s="135">
        <v>8</v>
      </c>
      <c r="B10" s="134" t="s">
        <v>371</v>
      </c>
      <c r="C10" s="147" t="s">
        <v>66</v>
      </c>
      <c r="D10" s="134" t="s">
        <v>104</v>
      </c>
      <c r="E10" s="145">
        <v>2408</v>
      </c>
      <c r="F10" s="242" t="s">
        <v>382</v>
      </c>
      <c r="G10" s="134" t="s">
        <v>123</v>
      </c>
      <c r="H10" s="355">
        <v>2.9609999999999999</v>
      </c>
      <c r="I10" s="309" t="s">
        <v>424</v>
      </c>
      <c r="J10" s="175">
        <v>21000429</v>
      </c>
      <c r="K10" s="132">
        <f t="shared" si="7"/>
        <v>11550235.949999999</v>
      </c>
      <c r="L10" s="133">
        <f t="shared" si="8"/>
        <v>9450193.0500000007</v>
      </c>
      <c r="M10" s="154">
        <v>0.55000000000000004</v>
      </c>
      <c r="N10" s="132">
        <v>0</v>
      </c>
      <c r="O10" s="132">
        <v>1100058.8500000001</v>
      </c>
      <c r="P10" s="133">
        <v>2750058.85</v>
      </c>
      <c r="Q10" s="133">
        <v>2750058.85</v>
      </c>
      <c r="R10" s="133">
        <v>2750059.4</v>
      </c>
      <c r="S10" s="133">
        <v>2200000</v>
      </c>
      <c r="T10" s="133"/>
      <c r="U10" s="133"/>
      <c r="V10" s="133"/>
      <c r="W10" s="133"/>
      <c r="X10" s="176" t="b">
        <f>K10=SUM(N10:W10)</f>
        <v>1</v>
      </c>
      <c r="Y10" s="177">
        <f>ROUND(K10/J10,4)</f>
        <v>0.55000000000000004</v>
      </c>
      <c r="Z10" s="178" t="b">
        <f>Y10=M10</f>
        <v>1</v>
      </c>
      <c r="AA10" s="178" t="b">
        <f>J10=K10+L10</f>
        <v>1</v>
      </c>
      <c r="AB10" s="179"/>
    </row>
    <row r="11" spans="1:28" s="186" customFormat="1" ht="24">
      <c r="A11" s="135">
        <v>9</v>
      </c>
      <c r="B11" s="135" t="s">
        <v>372</v>
      </c>
      <c r="C11" s="135" t="s">
        <v>67</v>
      </c>
      <c r="D11" s="135" t="s">
        <v>787</v>
      </c>
      <c r="E11" s="158">
        <v>2406</v>
      </c>
      <c r="F11" s="42" t="s">
        <v>383</v>
      </c>
      <c r="G11" s="135" t="s">
        <v>123</v>
      </c>
      <c r="H11" s="356">
        <v>4.5720000000000001</v>
      </c>
      <c r="I11" s="310" t="s">
        <v>425</v>
      </c>
      <c r="J11" s="241">
        <v>9877841</v>
      </c>
      <c r="K11" s="46">
        <f>70%*J11</f>
        <v>6914488.6999999993</v>
      </c>
      <c r="L11" s="47">
        <f t="shared" ref="L11" si="14">J11-K11</f>
        <v>2963352.3000000007</v>
      </c>
      <c r="M11" s="172">
        <v>0.7</v>
      </c>
      <c r="N11" s="46">
        <v>0</v>
      </c>
      <c r="O11" s="47">
        <v>6914488.6999999993</v>
      </c>
      <c r="P11" s="47"/>
      <c r="Q11" s="47"/>
      <c r="R11" s="47"/>
      <c r="S11" s="47"/>
      <c r="T11" s="47"/>
      <c r="U11" s="47"/>
      <c r="V11" s="47"/>
      <c r="W11" s="47"/>
      <c r="X11" s="174" t="b">
        <f>K11=SUM(N11:W11)</f>
        <v>1</v>
      </c>
      <c r="Y11" s="183">
        <f>ROUND(K11/J11,4)</f>
        <v>0.7</v>
      </c>
      <c r="Z11" s="184" t="b">
        <f t="shared" ref="Z11" si="15">Y11=M11</f>
        <v>1</v>
      </c>
      <c r="AA11" s="184" t="b">
        <f>J11=K11+L11</f>
        <v>1</v>
      </c>
      <c r="AB11" s="185"/>
    </row>
    <row r="12" spans="1:28" s="186" customFormat="1" ht="36">
      <c r="A12" s="135">
        <v>10</v>
      </c>
      <c r="B12" s="135" t="s">
        <v>785</v>
      </c>
      <c r="C12" s="135" t="s">
        <v>67</v>
      </c>
      <c r="D12" s="135" t="s">
        <v>786</v>
      </c>
      <c r="E12" s="158">
        <v>2412</v>
      </c>
      <c r="F12" s="42" t="s">
        <v>788</v>
      </c>
      <c r="G12" s="135" t="s">
        <v>403</v>
      </c>
      <c r="H12" s="356">
        <v>0.91900000000000004</v>
      </c>
      <c r="I12" s="310" t="s">
        <v>422</v>
      </c>
      <c r="J12" s="241">
        <v>2027865</v>
      </c>
      <c r="K12" s="46">
        <f>60%*J12</f>
        <v>1216719</v>
      </c>
      <c r="L12" s="47">
        <f t="shared" ref="L12" si="16">J12-K12</f>
        <v>811146</v>
      </c>
      <c r="M12" s="172">
        <v>0.6</v>
      </c>
      <c r="N12" s="46">
        <v>0</v>
      </c>
      <c r="O12" s="46">
        <v>1216719</v>
      </c>
      <c r="P12" s="47"/>
      <c r="Q12" s="47"/>
      <c r="R12" s="47"/>
      <c r="S12" s="47"/>
      <c r="T12" s="47"/>
      <c r="U12" s="47"/>
      <c r="V12" s="47"/>
      <c r="W12" s="48"/>
      <c r="X12" s="174" t="b">
        <f>K12=SUM(N12:W12)</f>
        <v>1</v>
      </c>
      <c r="Y12" s="183">
        <f>ROUND(K12/J12,4)</f>
        <v>0.6</v>
      </c>
      <c r="Z12" s="184" t="b">
        <f t="shared" ref="Z12" si="17">Y12=M12</f>
        <v>1</v>
      </c>
      <c r="AA12" s="184" t="b">
        <f>J12=K12+L12</f>
        <v>1</v>
      </c>
      <c r="AB12" s="185"/>
    </row>
    <row r="13" spans="1:28" s="156" customFormat="1" ht="20.100000000000001" customHeight="1">
      <c r="A13" s="453" t="s">
        <v>42</v>
      </c>
      <c r="B13" s="453"/>
      <c r="C13" s="453"/>
      <c r="D13" s="453"/>
      <c r="E13" s="453"/>
      <c r="F13" s="453"/>
      <c r="G13" s="453"/>
      <c r="H13" s="187">
        <f>SUM(H3:H11)</f>
        <v>12.709</v>
      </c>
      <c r="I13" s="354" t="s">
        <v>13</v>
      </c>
      <c r="J13" s="188">
        <f>SUM(J3:J12)</f>
        <v>51238739</v>
      </c>
      <c r="K13" s="155">
        <f>SUM(K3:K12)</f>
        <v>28997745.649999999</v>
      </c>
      <c r="L13" s="155">
        <f>SUM(L3:L12)</f>
        <v>22240993.350000001</v>
      </c>
      <c r="M13" s="172" t="s">
        <v>13</v>
      </c>
      <c r="N13" s="189">
        <f>SUM(N10:N12)</f>
        <v>0</v>
      </c>
      <c r="O13" s="189">
        <f>SUM(O3:O12)</f>
        <v>18547568.549999997</v>
      </c>
      <c r="P13" s="189">
        <f t="shared" ref="P13:W13" si="18">SUM(P3:P12)</f>
        <v>2750058.85</v>
      </c>
      <c r="Q13" s="189">
        <f t="shared" si="18"/>
        <v>2750058.85</v>
      </c>
      <c r="R13" s="189">
        <f t="shared" si="18"/>
        <v>2750059.4</v>
      </c>
      <c r="S13" s="189">
        <f t="shared" si="18"/>
        <v>2200000</v>
      </c>
      <c r="T13" s="189">
        <f t="shared" si="18"/>
        <v>0</v>
      </c>
      <c r="U13" s="189">
        <f t="shared" si="18"/>
        <v>0</v>
      </c>
      <c r="V13" s="189">
        <f t="shared" si="18"/>
        <v>0</v>
      </c>
      <c r="W13" s="189">
        <f t="shared" si="18"/>
        <v>0</v>
      </c>
      <c r="X13" s="174" t="b">
        <f t="shared" ref="X13" si="19">K13=SUM(N13:W13)</f>
        <v>1</v>
      </c>
      <c r="Y13" s="183">
        <f t="shared" ref="Y13" si="20">ROUND(K13/J13,4)</f>
        <v>0.56589999999999996</v>
      </c>
      <c r="Z13" s="184" t="s">
        <v>13</v>
      </c>
      <c r="AA13" s="184" t="b">
        <f t="shared" ref="AA13" si="21">J13=K13+L13</f>
        <v>1</v>
      </c>
      <c r="AB13" s="190"/>
    </row>
    <row r="14" spans="1:28" s="156" customFormat="1" ht="20.100000000000001" customHeight="1">
      <c r="A14" s="453" t="s">
        <v>36</v>
      </c>
      <c r="B14" s="453"/>
      <c r="C14" s="453"/>
      <c r="D14" s="453"/>
      <c r="E14" s="453"/>
      <c r="F14" s="453"/>
      <c r="G14" s="453"/>
      <c r="H14" s="187">
        <f>SUMIF($C$3:$C$11,"N",H3:H11)</f>
        <v>9.7480000000000011</v>
      </c>
      <c r="I14" s="354" t="s">
        <v>13</v>
      </c>
      <c r="J14" s="188">
        <f>SUMIF($C$3:$C$12,"N",J3:J12)</f>
        <v>30238310</v>
      </c>
      <c r="K14" s="155">
        <f>SUMIF($C$3:$C$12,"N",K3:K12)</f>
        <v>17447509.699999999</v>
      </c>
      <c r="L14" s="155">
        <f>SUMIF($C$3:$C$12,"N",L3:L12)</f>
        <v>12790800.300000001</v>
      </c>
      <c r="M14" s="172" t="s">
        <v>13</v>
      </c>
      <c r="N14" s="189">
        <f>SUMIF($C$10:$C$12,"N",N10:N12)</f>
        <v>0</v>
      </c>
      <c r="O14" s="189">
        <f>SUMIF($C$3:$C$12,"N",O3:O12)</f>
        <v>17447509.699999999</v>
      </c>
      <c r="P14" s="189">
        <f t="shared" ref="P14:W14" si="22">SUMIF($C$3:$C$12,"N",P3:P12)</f>
        <v>0</v>
      </c>
      <c r="Q14" s="189">
        <f t="shared" si="22"/>
        <v>0</v>
      </c>
      <c r="R14" s="189">
        <f t="shared" si="22"/>
        <v>0</v>
      </c>
      <c r="S14" s="189">
        <f t="shared" si="22"/>
        <v>0</v>
      </c>
      <c r="T14" s="189">
        <f t="shared" si="22"/>
        <v>0</v>
      </c>
      <c r="U14" s="189">
        <f t="shared" si="22"/>
        <v>0</v>
      </c>
      <c r="V14" s="189">
        <f t="shared" si="22"/>
        <v>0</v>
      </c>
      <c r="W14" s="189">
        <f t="shared" si="22"/>
        <v>0</v>
      </c>
      <c r="X14" s="174" t="b">
        <f t="shared" ref="X14" si="23">K14=SUM(N14:W14)</f>
        <v>1</v>
      </c>
      <c r="Y14" s="183">
        <f t="shared" ref="Y14" si="24">ROUND(K14/J14,4)</f>
        <v>0.57699999999999996</v>
      </c>
      <c r="Z14" s="184" t="s">
        <v>13</v>
      </c>
      <c r="AA14" s="184" t="b">
        <f t="shared" ref="AA14" si="25">J14=K14+L14</f>
        <v>1</v>
      </c>
      <c r="AB14" s="190"/>
    </row>
    <row r="15" spans="1:28" s="156" customFormat="1" ht="20.100000000000001" customHeight="1">
      <c r="A15" s="447" t="s">
        <v>37</v>
      </c>
      <c r="B15" s="447"/>
      <c r="C15" s="447"/>
      <c r="D15" s="447"/>
      <c r="E15" s="447"/>
      <c r="F15" s="447"/>
      <c r="G15" s="447"/>
      <c r="H15" s="191">
        <f>SUMIF($C$3:$C$11,"W",H3:H11)</f>
        <v>2.9609999999999999</v>
      </c>
      <c r="I15" s="414" t="s">
        <v>13</v>
      </c>
      <c r="J15" s="148">
        <f>SUMIF($C$3:$C$12,"W",J3:J12)</f>
        <v>21000429</v>
      </c>
      <c r="K15" s="133">
        <f>SUMIF($C$3:$C$11,"W",K3:K11)</f>
        <v>11550235.949999999</v>
      </c>
      <c r="L15" s="133">
        <f>SUMIF($C$3:$C$12,"W",L3:L12)</f>
        <v>9450193.0500000007</v>
      </c>
      <c r="M15" s="154" t="s">
        <v>13</v>
      </c>
      <c r="N15" s="117">
        <f>SUMIF($C$10:$C$12,"W",N10:N12)</f>
        <v>0</v>
      </c>
      <c r="O15" s="117">
        <f>SUMIF($C$3:$C$12,"W",O3:O12)</f>
        <v>1100058.8500000001</v>
      </c>
      <c r="P15" s="117">
        <f t="shared" ref="P15:W15" si="26">SUMIF($C$3:$C$12,"W",P3:P12)</f>
        <v>2750058.85</v>
      </c>
      <c r="Q15" s="117">
        <f t="shared" si="26"/>
        <v>2750058.85</v>
      </c>
      <c r="R15" s="117">
        <f t="shared" si="26"/>
        <v>2750059.4</v>
      </c>
      <c r="S15" s="117">
        <f t="shared" si="26"/>
        <v>2200000</v>
      </c>
      <c r="T15" s="117">
        <f t="shared" si="26"/>
        <v>0</v>
      </c>
      <c r="U15" s="117">
        <f t="shared" si="26"/>
        <v>0</v>
      </c>
      <c r="V15" s="117">
        <f t="shared" si="26"/>
        <v>0</v>
      </c>
      <c r="W15" s="117">
        <f t="shared" si="26"/>
        <v>0</v>
      </c>
      <c r="X15" s="174" t="b">
        <f t="shared" ref="X15" si="27">K15=SUM(N15:W15)</f>
        <v>1</v>
      </c>
      <c r="Y15" s="183">
        <f t="shared" ref="Y15" si="28">ROUND(K15/J15,4)</f>
        <v>0.55000000000000004</v>
      </c>
      <c r="Z15" s="184" t="s">
        <v>13</v>
      </c>
      <c r="AA15" s="184" t="b">
        <f t="shared" ref="AA15" si="29">J15=K15+L15</f>
        <v>1</v>
      </c>
      <c r="AB15" s="190"/>
    </row>
    <row r="16" spans="1:28" s="156" customFormat="1" ht="12">
      <c r="A16" s="173"/>
      <c r="B16" s="174"/>
      <c r="C16" s="174"/>
      <c r="D16" s="174"/>
      <c r="E16" s="174"/>
      <c r="G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</row>
    <row r="17" spans="1:23">
      <c r="A17" s="322" t="s">
        <v>21</v>
      </c>
      <c r="W17" s="27"/>
    </row>
    <row r="18" spans="1:23">
      <c r="A18" s="323" t="s">
        <v>22</v>
      </c>
      <c r="W18" s="27"/>
    </row>
    <row r="19" spans="1:23">
      <c r="A19" s="322" t="s">
        <v>33</v>
      </c>
      <c r="W19" s="27"/>
    </row>
    <row r="20" spans="1:23">
      <c r="A20" s="170"/>
    </row>
  </sheetData>
  <mergeCells count="17">
    <mergeCell ref="J1:J2"/>
    <mergeCell ref="K1:K2"/>
    <mergeCell ref="L1:L2"/>
    <mergeCell ref="M1:M2"/>
    <mergeCell ref="N1:W1"/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</mergeCells>
  <conditionalFormatting sqref="AA15 X10:AB11">
    <cfRule type="cellIs" dxfId="56" priority="44" operator="equal">
      <formula>FALSE</formula>
    </cfRule>
  </conditionalFormatting>
  <conditionalFormatting sqref="AB15">
    <cfRule type="cellIs" dxfId="55" priority="49" operator="equal">
      <formula>FALSE</formula>
    </cfRule>
  </conditionalFormatting>
  <conditionalFormatting sqref="AB15">
    <cfRule type="cellIs" dxfId="54" priority="48" operator="equal">
      <formula>FALSE</formula>
    </cfRule>
  </conditionalFormatting>
  <conditionalFormatting sqref="Y15:Z15">
    <cfRule type="cellIs" dxfId="53" priority="47" operator="equal">
      <formula>FALSE</formula>
    </cfRule>
  </conditionalFormatting>
  <conditionalFormatting sqref="X15">
    <cfRule type="cellIs" dxfId="52" priority="46" operator="equal">
      <formula>FALSE</formula>
    </cfRule>
  </conditionalFormatting>
  <conditionalFormatting sqref="X15:Z15 X10:Z11">
    <cfRule type="containsText" dxfId="51" priority="45" operator="containsText" text="fałsz">
      <formula>NOT(ISERROR(SEARCH("fałsz",X10)))</formula>
    </cfRule>
  </conditionalFormatting>
  <conditionalFormatting sqref="AA15">
    <cfRule type="cellIs" dxfId="50" priority="43" operator="equal">
      <formula>FALSE</formula>
    </cfRule>
  </conditionalFormatting>
  <conditionalFormatting sqref="AB13:AB14">
    <cfRule type="cellIs" dxfId="49" priority="42" operator="equal">
      <formula>FALSE</formula>
    </cfRule>
  </conditionalFormatting>
  <conditionalFormatting sqref="AB13:AB14">
    <cfRule type="cellIs" dxfId="48" priority="41" operator="equal">
      <formula>FALSE</formula>
    </cfRule>
  </conditionalFormatting>
  <conditionalFormatting sqref="Y13:Z13">
    <cfRule type="cellIs" dxfId="47" priority="40" operator="equal">
      <formula>FALSE</formula>
    </cfRule>
  </conditionalFormatting>
  <conditionalFormatting sqref="X13">
    <cfRule type="cellIs" dxfId="46" priority="39" operator="equal">
      <formula>FALSE</formula>
    </cfRule>
  </conditionalFormatting>
  <conditionalFormatting sqref="X13:Z13">
    <cfRule type="containsText" dxfId="45" priority="38" operator="containsText" text="fałsz">
      <formula>NOT(ISERROR(SEARCH("fałsz",X13)))</formula>
    </cfRule>
  </conditionalFormatting>
  <conditionalFormatting sqref="AA13">
    <cfRule type="cellIs" dxfId="44" priority="37" operator="equal">
      <formula>FALSE</formula>
    </cfRule>
  </conditionalFormatting>
  <conditionalFormatting sqref="AA13">
    <cfRule type="cellIs" dxfId="43" priority="36" operator="equal">
      <formula>FALSE</formula>
    </cfRule>
  </conditionalFormatting>
  <conditionalFormatting sqref="Y14:Z14">
    <cfRule type="cellIs" dxfId="42" priority="35" operator="equal">
      <formula>FALSE</formula>
    </cfRule>
  </conditionalFormatting>
  <conditionalFormatting sqref="X14">
    <cfRule type="cellIs" dxfId="41" priority="34" operator="equal">
      <formula>FALSE</formula>
    </cfRule>
  </conditionalFormatting>
  <conditionalFormatting sqref="X14:Z14">
    <cfRule type="containsText" dxfId="40" priority="33" operator="containsText" text="fałsz">
      <formula>NOT(ISERROR(SEARCH("fałsz",X14)))</formula>
    </cfRule>
  </conditionalFormatting>
  <conditionalFormatting sqref="AA14">
    <cfRule type="cellIs" dxfId="39" priority="32" operator="equal">
      <formula>FALSE</formula>
    </cfRule>
  </conditionalFormatting>
  <conditionalFormatting sqref="AA14">
    <cfRule type="cellIs" dxfId="38" priority="31" operator="equal">
      <formula>FALSE</formula>
    </cfRule>
  </conditionalFormatting>
  <conditionalFormatting sqref="AA7:AA8">
    <cfRule type="cellIs" dxfId="37" priority="25" operator="equal">
      <formula>FALSE</formula>
    </cfRule>
  </conditionalFormatting>
  <conditionalFormatting sqref="AB7:AB8">
    <cfRule type="cellIs" dxfId="36" priority="30" operator="equal">
      <formula>FALSE</formula>
    </cfRule>
  </conditionalFormatting>
  <conditionalFormatting sqref="AB7:AB8">
    <cfRule type="cellIs" dxfId="35" priority="29" operator="equal">
      <formula>FALSE</formula>
    </cfRule>
  </conditionalFormatting>
  <conditionalFormatting sqref="Y7:Z8">
    <cfRule type="cellIs" dxfId="34" priority="28" operator="equal">
      <formula>FALSE</formula>
    </cfRule>
  </conditionalFormatting>
  <conditionalFormatting sqref="X7:X8">
    <cfRule type="cellIs" dxfId="33" priority="27" operator="equal">
      <formula>FALSE</formula>
    </cfRule>
  </conditionalFormatting>
  <conditionalFormatting sqref="X7:Z8">
    <cfRule type="containsText" dxfId="32" priority="26" operator="containsText" text="fałsz">
      <formula>NOT(ISERROR(SEARCH("fałsz",X7)))</formula>
    </cfRule>
  </conditionalFormatting>
  <conditionalFormatting sqref="AA7:AA8">
    <cfRule type="cellIs" dxfId="31" priority="24" operator="equal">
      <formula>FALSE</formula>
    </cfRule>
  </conditionalFormatting>
  <conditionalFormatting sqref="AA5:AA6">
    <cfRule type="cellIs" dxfId="30" priority="18" operator="equal">
      <formula>FALSE</formula>
    </cfRule>
  </conditionalFormatting>
  <conditionalFormatting sqref="AB5:AB6">
    <cfRule type="cellIs" dxfId="29" priority="23" operator="equal">
      <formula>FALSE</formula>
    </cfRule>
  </conditionalFormatting>
  <conditionalFormatting sqref="AB5:AB6">
    <cfRule type="cellIs" dxfId="28" priority="22" operator="equal">
      <formula>FALSE</formula>
    </cfRule>
  </conditionalFormatting>
  <conditionalFormatting sqref="Y5:Z6">
    <cfRule type="cellIs" dxfId="27" priority="21" operator="equal">
      <formula>FALSE</formula>
    </cfRule>
  </conditionalFormatting>
  <conditionalFormatting sqref="X5:X6">
    <cfRule type="cellIs" dxfId="26" priority="20" operator="equal">
      <formula>FALSE</formula>
    </cfRule>
  </conditionalFormatting>
  <conditionalFormatting sqref="X5:Z6">
    <cfRule type="containsText" dxfId="25" priority="19" operator="containsText" text="fałsz">
      <formula>NOT(ISERROR(SEARCH("fałsz",X5)))</formula>
    </cfRule>
  </conditionalFormatting>
  <conditionalFormatting sqref="AA5:AA6">
    <cfRule type="cellIs" dxfId="24" priority="17" operator="equal">
      <formula>FALSE</formula>
    </cfRule>
  </conditionalFormatting>
  <conditionalFormatting sqref="AA3:AA4">
    <cfRule type="cellIs" dxfId="23" priority="11" operator="equal">
      <formula>FALSE</formula>
    </cfRule>
  </conditionalFormatting>
  <conditionalFormatting sqref="AB3:AB4">
    <cfRule type="cellIs" dxfId="22" priority="16" operator="equal">
      <formula>FALSE</formula>
    </cfRule>
  </conditionalFormatting>
  <conditionalFormatting sqref="AB3:AB4">
    <cfRule type="cellIs" dxfId="21" priority="15" operator="equal">
      <formula>FALSE</formula>
    </cfRule>
  </conditionalFormatting>
  <conditionalFormatting sqref="Y3:Z4">
    <cfRule type="cellIs" dxfId="20" priority="14" operator="equal">
      <formula>FALSE</formula>
    </cfRule>
  </conditionalFormatting>
  <conditionalFormatting sqref="X3:X4">
    <cfRule type="cellIs" dxfId="19" priority="13" operator="equal">
      <formula>FALSE</formula>
    </cfRule>
  </conditionalFormatting>
  <conditionalFormatting sqref="X3:Z4">
    <cfRule type="containsText" dxfId="18" priority="12" operator="containsText" text="fałsz">
      <formula>NOT(ISERROR(SEARCH("fałsz",X3)))</formula>
    </cfRule>
  </conditionalFormatting>
  <conditionalFormatting sqref="AA3:AA4">
    <cfRule type="cellIs" dxfId="17" priority="10" operator="equal">
      <formula>FALSE</formula>
    </cfRule>
  </conditionalFormatting>
  <conditionalFormatting sqref="AA9">
    <cfRule type="cellIs" dxfId="16" priority="4" operator="equal">
      <formula>FALSE</formula>
    </cfRule>
  </conditionalFormatting>
  <conditionalFormatting sqref="AB9">
    <cfRule type="cellIs" dxfId="15" priority="9" operator="equal">
      <formula>FALSE</formula>
    </cfRule>
  </conditionalFormatting>
  <conditionalFormatting sqref="AB9">
    <cfRule type="cellIs" dxfId="14" priority="8" operator="equal">
      <formula>FALSE</formula>
    </cfRule>
  </conditionalFormatting>
  <conditionalFormatting sqref="Y9:Z9">
    <cfRule type="cellIs" dxfId="13" priority="7" operator="equal">
      <formula>FALSE</formula>
    </cfRule>
  </conditionalFormatting>
  <conditionalFormatting sqref="X9">
    <cfRule type="cellIs" dxfId="12" priority="6" operator="equal">
      <formula>FALSE</formula>
    </cfRule>
  </conditionalFormatting>
  <conditionalFormatting sqref="X9:Z9">
    <cfRule type="containsText" dxfId="11" priority="5" operator="containsText" text="fałsz">
      <formula>NOT(ISERROR(SEARCH("fałsz",X9)))</formula>
    </cfRule>
  </conditionalFormatting>
  <conditionalFormatting sqref="AA9">
    <cfRule type="cellIs" dxfId="10" priority="3" operator="equal">
      <formula>FALSE</formula>
    </cfRule>
  </conditionalFormatting>
  <conditionalFormatting sqref="X12:AB12">
    <cfRule type="cellIs" dxfId="9" priority="1" operator="equal">
      <formula>FALSE</formula>
    </cfRule>
  </conditionalFormatting>
  <conditionalFormatting sqref="X12:Z12">
    <cfRule type="containsText" dxfId="8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9"/>
  <sheetViews>
    <sheetView showGridLines="0" view="pageBreakPreview" zoomScale="78" zoomScaleNormal="78" zoomScaleSheetLayoutView="78" workbookViewId="0">
      <selection activeCell="F7" sqref="F7"/>
    </sheetView>
  </sheetViews>
  <sheetFormatPr defaultColWidth="27.5703125" defaultRowHeight="12"/>
  <cols>
    <col min="1" max="1" width="5" style="174" customWidth="1"/>
    <col min="2" max="2" width="12" style="156" customWidth="1"/>
    <col min="3" max="3" width="12.42578125" style="156" customWidth="1"/>
    <col min="4" max="4" width="30" style="156" customWidth="1"/>
    <col min="5" max="5" width="10.7109375" style="156" customWidth="1"/>
    <col min="6" max="6" width="12.7109375" style="174" customWidth="1"/>
    <col min="7" max="7" width="38.7109375" style="156" customWidth="1"/>
    <col min="8" max="8" width="8.7109375" style="156" customWidth="1"/>
    <col min="9" max="9" width="13.85546875" style="156" customWidth="1"/>
    <col min="10" max="10" width="15.85546875" style="174" customWidth="1"/>
    <col min="11" max="11" width="13.28515625" style="156" customWidth="1"/>
    <col min="12" max="12" width="13.140625" style="156" customWidth="1"/>
    <col min="13" max="13" width="12.5703125" style="156" customWidth="1"/>
    <col min="14" max="14" width="12.28515625" style="174" customWidth="1"/>
    <col min="15" max="15" width="9.85546875" style="156" customWidth="1"/>
    <col min="16" max="16" width="11.140625" style="156" customWidth="1"/>
    <col min="17" max="17" width="10.5703125" style="156" customWidth="1"/>
    <col min="18" max="24" width="9.85546875" style="156" customWidth="1"/>
    <col min="25" max="16384" width="27.5703125" style="156"/>
  </cols>
  <sheetData>
    <row r="1" spans="1:28" ht="20.100000000000001" customHeight="1">
      <c r="A1" s="457" t="s">
        <v>3</v>
      </c>
      <c r="B1" s="457" t="s">
        <v>4</v>
      </c>
      <c r="C1" s="539" t="s">
        <v>832</v>
      </c>
      <c r="D1" s="540" t="s">
        <v>5</v>
      </c>
      <c r="E1" s="540" t="s">
        <v>30</v>
      </c>
      <c r="F1" s="540" t="s">
        <v>14</v>
      </c>
      <c r="G1" s="457" t="s">
        <v>6</v>
      </c>
      <c r="H1" s="457" t="s">
        <v>23</v>
      </c>
      <c r="I1" s="457" t="s">
        <v>7</v>
      </c>
      <c r="J1" s="457" t="s">
        <v>24</v>
      </c>
      <c r="K1" s="457" t="s">
        <v>8</v>
      </c>
      <c r="L1" s="457" t="s">
        <v>9</v>
      </c>
      <c r="M1" s="540" t="s">
        <v>12</v>
      </c>
      <c r="N1" s="457" t="s">
        <v>10</v>
      </c>
      <c r="O1" s="457" t="s">
        <v>11</v>
      </c>
      <c r="P1" s="457"/>
      <c r="Q1" s="457"/>
      <c r="R1" s="457"/>
      <c r="S1" s="457"/>
      <c r="T1" s="457"/>
      <c r="U1" s="457"/>
      <c r="V1" s="457"/>
      <c r="W1" s="457"/>
      <c r="X1" s="457"/>
      <c r="Y1" s="343"/>
      <c r="Z1" s="343"/>
      <c r="AA1" s="343"/>
      <c r="AB1" s="343"/>
    </row>
    <row r="2" spans="1:28" ht="28.5" customHeight="1">
      <c r="A2" s="457"/>
      <c r="B2" s="457"/>
      <c r="C2" s="541"/>
      <c r="D2" s="542"/>
      <c r="E2" s="542"/>
      <c r="F2" s="542"/>
      <c r="G2" s="457"/>
      <c r="H2" s="457"/>
      <c r="I2" s="457"/>
      <c r="J2" s="457"/>
      <c r="K2" s="457"/>
      <c r="L2" s="457"/>
      <c r="M2" s="542"/>
      <c r="N2" s="457"/>
      <c r="O2" s="415">
        <v>2019</v>
      </c>
      <c r="P2" s="415">
        <v>2020</v>
      </c>
      <c r="Q2" s="415">
        <v>2021</v>
      </c>
      <c r="R2" s="415">
        <v>2022</v>
      </c>
      <c r="S2" s="415">
        <v>2023</v>
      </c>
      <c r="T2" s="415">
        <v>2024</v>
      </c>
      <c r="U2" s="415">
        <v>2025</v>
      </c>
      <c r="V2" s="415">
        <v>2026</v>
      </c>
      <c r="W2" s="415">
        <v>2027</v>
      </c>
      <c r="X2" s="415">
        <v>2028</v>
      </c>
      <c r="Y2" s="543" t="s">
        <v>26</v>
      </c>
      <c r="Z2" s="543" t="s">
        <v>27</v>
      </c>
      <c r="AA2" s="543" t="s">
        <v>28</v>
      </c>
      <c r="AB2" s="324" t="s">
        <v>29</v>
      </c>
    </row>
    <row r="3" spans="1:28" s="186" customFormat="1" ht="45">
      <c r="A3" s="284">
        <v>1</v>
      </c>
      <c r="B3" s="325" t="s">
        <v>345</v>
      </c>
      <c r="C3" s="285"/>
      <c r="D3" s="284" t="s">
        <v>867</v>
      </c>
      <c r="E3" s="332">
        <v>2415041</v>
      </c>
      <c r="F3" s="284" t="s">
        <v>299</v>
      </c>
      <c r="G3" s="333" t="s">
        <v>357</v>
      </c>
      <c r="H3" s="284" t="s">
        <v>121</v>
      </c>
      <c r="I3" s="289"/>
      <c r="J3" s="290"/>
      <c r="K3" s="544"/>
      <c r="L3" s="292"/>
      <c r="M3" s="293"/>
      <c r="N3" s="312"/>
      <c r="O3" s="292"/>
      <c r="P3" s="292"/>
      <c r="Q3" s="293"/>
      <c r="R3" s="293"/>
      <c r="S3" s="326"/>
      <c r="T3" s="326"/>
      <c r="U3" s="326"/>
      <c r="V3" s="326"/>
      <c r="W3" s="326"/>
      <c r="X3" s="326"/>
      <c r="Y3" s="545" t="b">
        <f t="shared" ref="Y3:Y23" si="0">L3=SUM(O3:X3)</f>
        <v>1</v>
      </c>
      <c r="Z3" s="546" t="e">
        <f t="shared" ref="Z3:Z23" si="1">ROUND(L3/K3,4)</f>
        <v>#DIV/0!</v>
      </c>
      <c r="AA3" s="547" t="e">
        <f t="shared" ref="AA3:AA23" si="2">Z3=N3</f>
        <v>#DIV/0!</v>
      </c>
      <c r="AB3" s="547" t="b">
        <f t="shared" ref="AB3:AB23" si="3">K3=L3+M3</f>
        <v>1</v>
      </c>
    </row>
    <row r="4" spans="1:28" ht="33.75">
      <c r="A4" s="325">
        <v>2</v>
      </c>
      <c r="B4" s="329" t="s">
        <v>346</v>
      </c>
      <c r="C4" s="285"/>
      <c r="D4" s="284" t="s">
        <v>874</v>
      </c>
      <c r="E4" s="332">
        <v>2410012</v>
      </c>
      <c r="F4" s="284" t="s">
        <v>418</v>
      </c>
      <c r="G4" s="330" t="s">
        <v>358</v>
      </c>
      <c r="H4" s="284" t="s">
        <v>121</v>
      </c>
      <c r="I4" s="289"/>
      <c r="J4" s="290"/>
      <c r="K4" s="331"/>
      <c r="L4" s="292"/>
      <c r="M4" s="293"/>
      <c r="N4" s="312"/>
      <c r="O4" s="292"/>
      <c r="P4" s="292"/>
      <c r="Q4" s="291"/>
      <c r="R4" s="291"/>
      <c r="S4" s="326"/>
      <c r="T4" s="326"/>
      <c r="U4" s="326"/>
      <c r="V4" s="326"/>
      <c r="W4" s="326"/>
      <c r="X4" s="326"/>
      <c r="Y4" s="545" t="b">
        <f t="shared" si="0"/>
        <v>1</v>
      </c>
      <c r="Z4" s="546" t="e">
        <f t="shared" si="1"/>
        <v>#DIV/0!</v>
      </c>
      <c r="AA4" s="547" t="e">
        <f t="shared" si="2"/>
        <v>#DIV/0!</v>
      </c>
      <c r="AB4" s="547" t="b">
        <f t="shared" si="3"/>
        <v>1</v>
      </c>
    </row>
    <row r="5" spans="1:28" ht="33.75">
      <c r="A5" s="325">
        <v>3</v>
      </c>
      <c r="B5" s="329" t="s">
        <v>347</v>
      </c>
      <c r="C5" s="285"/>
      <c r="D5" s="284" t="s">
        <v>868</v>
      </c>
      <c r="E5" s="332">
        <v>2401021</v>
      </c>
      <c r="F5" s="284" t="s">
        <v>333</v>
      </c>
      <c r="G5" s="330" t="s">
        <v>359</v>
      </c>
      <c r="H5" s="284" t="s">
        <v>121</v>
      </c>
      <c r="I5" s="289"/>
      <c r="J5" s="290"/>
      <c r="K5" s="331"/>
      <c r="L5" s="292"/>
      <c r="M5" s="293"/>
      <c r="N5" s="312"/>
      <c r="O5" s="292"/>
      <c r="P5" s="291"/>
      <c r="Q5" s="291"/>
      <c r="R5" s="291"/>
      <c r="S5" s="326"/>
      <c r="T5" s="326"/>
      <c r="U5" s="326"/>
      <c r="V5" s="326"/>
      <c r="W5" s="326"/>
      <c r="X5" s="326"/>
      <c r="Y5" s="545" t="b">
        <f t="shared" si="0"/>
        <v>1</v>
      </c>
      <c r="Z5" s="546" t="e">
        <f t="shared" si="1"/>
        <v>#DIV/0!</v>
      </c>
      <c r="AA5" s="547" t="e">
        <f t="shared" si="2"/>
        <v>#DIV/0!</v>
      </c>
      <c r="AB5" s="547" t="b">
        <f t="shared" si="3"/>
        <v>1</v>
      </c>
    </row>
    <row r="6" spans="1:28" s="180" customFormat="1" ht="33.75">
      <c r="A6" s="277">
        <v>4</v>
      </c>
      <c r="B6" s="277" t="s">
        <v>349</v>
      </c>
      <c r="C6" s="278"/>
      <c r="D6" s="264" t="s">
        <v>875</v>
      </c>
      <c r="E6" s="336">
        <v>2408021</v>
      </c>
      <c r="F6" s="264" t="s">
        <v>292</v>
      </c>
      <c r="G6" s="386" t="s">
        <v>839</v>
      </c>
      <c r="H6" s="264" t="s">
        <v>123</v>
      </c>
      <c r="I6" s="282"/>
      <c r="J6" s="283"/>
      <c r="K6" s="327"/>
      <c r="L6" s="270"/>
      <c r="M6" s="269"/>
      <c r="N6" s="311"/>
      <c r="O6" s="270"/>
      <c r="P6" s="270"/>
      <c r="Q6" s="273"/>
      <c r="R6" s="273"/>
      <c r="S6" s="328"/>
      <c r="T6" s="328"/>
      <c r="U6" s="328"/>
      <c r="V6" s="328"/>
      <c r="W6" s="328"/>
      <c r="X6" s="328"/>
      <c r="Y6" s="545" t="b">
        <f t="shared" si="0"/>
        <v>1</v>
      </c>
      <c r="Z6" s="546" t="e">
        <f t="shared" si="1"/>
        <v>#DIV/0!</v>
      </c>
      <c r="AA6" s="547" t="e">
        <f t="shared" si="2"/>
        <v>#DIV/0!</v>
      </c>
      <c r="AB6" s="547" t="b">
        <f t="shared" si="3"/>
        <v>1</v>
      </c>
    </row>
    <row r="7" spans="1:28" ht="33.75">
      <c r="A7" s="325">
        <v>5</v>
      </c>
      <c r="B7" s="329" t="s">
        <v>350</v>
      </c>
      <c r="C7" s="285"/>
      <c r="D7" s="284" t="s">
        <v>876</v>
      </c>
      <c r="E7" s="294">
        <v>2473011</v>
      </c>
      <c r="F7" s="284" t="s">
        <v>419</v>
      </c>
      <c r="G7" s="330" t="s">
        <v>361</v>
      </c>
      <c r="H7" s="284" t="s">
        <v>123</v>
      </c>
      <c r="I7" s="289"/>
      <c r="J7" s="290"/>
      <c r="K7" s="331"/>
      <c r="L7" s="292"/>
      <c r="M7" s="293"/>
      <c r="N7" s="312"/>
      <c r="O7" s="292"/>
      <c r="P7" s="292"/>
      <c r="Q7" s="291"/>
      <c r="R7" s="291"/>
      <c r="S7" s="291"/>
      <c r="T7" s="291"/>
      <c r="U7" s="291"/>
      <c r="V7" s="291"/>
      <c r="W7" s="291"/>
      <c r="X7" s="291"/>
      <c r="Y7" s="545" t="b">
        <f t="shared" si="0"/>
        <v>1</v>
      </c>
      <c r="Z7" s="546" t="e">
        <f t="shared" si="1"/>
        <v>#DIV/0!</v>
      </c>
      <c r="AA7" s="547" t="e">
        <f t="shared" si="2"/>
        <v>#DIV/0!</v>
      </c>
      <c r="AB7" s="547" t="b">
        <f t="shared" si="3"/>
        <v>1</v>
      </c>
    </row>
    <row r="8" spans="1:28" ht="22.5">
      <c r="A8" s="325">
        <v>6</v>
      </c>
      <c r="B8" s="329" t="s">
        <v>352</v>
      </c>
      <c r="C8" s="285" t="s">
        <v>67</v>
      </c>
      <c r="D8" s="284" t="s">
        <v>353</v>
      </c>
      <c r="E8" s="332">
        <v>2401021</v>
      </c>
      <c r="F8" s="284" t="s">
        <v>333</v>
      </c>
      <c r="G8" s="330" t="s">
        <v>363</v>
      </c>
      <c r="H8" s="284" t="s">
        <v>121</v>
      </c>
      <c r="I8" s="289">
        <v>0.91300000000000003</v>
      </c>
      <c r="J8" s="290" t="s">
        <v>441</v>
      </c>
      <c r="K8" s="331">
        <v>9677154</v>
      </c>
      <c r="L8" s="292">
        <f t="shared" ref="L6:L8" si="4">ROUND(K8*N8,2)</f>
        <v>4838577</v>
      </c>
      <c r="M8" s="293">
        <f t="shared" ref="M6:M8" si="5">K8-L8</f>
        <v>4838577</v>
      </c>
      <c r="N8" s="312">
        <v>0.5</v>
      </c>
      <c r="O8" s="292">
        <v>0</v>
      </c>
      <c r="P8" s="292">
        <v>4838577</v>
      </c>
      <c r="Q8" s="291"/>
      <c r="R8" s="291"/>
      <c r="S8" s="291"/>
      <c r="T8" s="291"/>
      <c r="U8" s="291"/>
      <c r="V8" s="291"/>
      <c r="W8" s="291"/>
      <c r="X8" s="291"/>
      <c r="Y8" s="545" t="b">
        <f t="shared" si="0"/>
        <v>1</v>
      </c>
      <c r="Z8" s="546">
        <f t="shared" si="1"/>
        <v>0.5</v>
      </c>
      <c r="AA8" s="547" t="b">
        <f t="shared" si="2"/>
        <v>1</v>
      </c>
      <c r="AB8" s="547" t="b">
        <f t="shared" si="3"/>
        <v>1</v>
      </c>
    </row>
    <row r="9" spans="1:28" s="180" customFormat="1" ht="22.5">
      <c r="A9" s="264">
        <v>7</v>
      </c>
      <c r="B9" s="277" t="s">
        <v>348</v>
      </c>
      <c r="C9" s="278" t="s">
        <v>66</v>
      </c>
      <c r="D9" s="325" t="s">
        <v>354</v>
      </c>
      <c r="E9" s="336">
        <v>2409053</v>
      </c>
      <c r="F9" s="264" t="s">
        <v>320</v>
      </c>
      <c r="G9" s="386" t="s">
        <v>360</v>
      </c>
      <c r="H9" s="264" t="s">
        <v>123</v>
      </c>
      <c r="I9" s="282">
        <v>2.59</v>
      </c>
      <c r="J9" s="283" t="s">
        <v>438</v>
      </c>
      <c r="K9" s="327">
        <v>5876000</v>
      </c>
      <c r="L9" s="270">
        <f>ROUND(K9*N9,2)</f>
        <v>2938000</v>
      </c>
      <c r="M9" s="269">
        <f t="shared" ref="M9:M17" si="6">K9-L9</f>
        <v>2938000</v>
      </c>
      <c r="N9" s="311">
        <v>0.5</v>
      </c>
      <c r="O9" s="270">
        <v>0</v>
      </c>
      <c r="P9" s="270">
        <v>1770000</v>
      </c>
      <c r="Q9" s="273">
        <v>1168000</v>
      </c>
      <c r="R9" s="273"/>
      <c r="S9" s="273"/>
      <c r="T9" s="273"/>
      <c r="U9" s="273"/>
      <c r="V9" s="273"/>
      <c r="W9" s="273"/>
      <c r="X9" s="273"/>
      <c r="Y9" s="545" t="b">
        <f t="shared" si="0"/>
        <v>1</v>
      </c>
      <c r="Z9" s="546">
        <f t="shared" si="1"/>
        <v>0.5</v>
      </c>
      <c r="AA9" s="547" t="b">
        <f t="shared" si="2"/>
        <v>1</v>
      </c>
      <c r="AB9" s="547" t="b">
        <f t="shared" si="3"/>
        <v>1</v>
      </c>
    </row>
    <row r="10" spans="1:28" s="186" customFormat="1" ht="33" customHeight="1">
      <c r="A10" s="284">
        <v>8</v>
      </c>
      <c r="B10" s="325" t="s">
        <v>356</v>
      </c>
      <c r="C10" s="285" t="s">
        <v>67</v>
      </c>
      <c r="D10" s="325" t="s">
        <v>144</v>
      </c>
      <c r="E10" s="332" t="s">
        <v>544</v>
      </c>
      <c r="F10" s="284" t="s">
        <v>295</v>
      </c>
      <c r="G10" s="333" t="s">
        <v>815</v>
      </c>
      <c r="H10" s="284" t="s">
        <v>121</v>
      </c>
      <c r="I10" s="289">
        <v>1.28</v>
      </c>
      <c r="J10" s="290" t="s">
        <v>428</v>
      </c>
      <c r="K10" s="334">
        <v>5797410</v>
      </c>
      <c r="L10" s="292">
        <f>K10*70%</f>
        <v>4058186.9999999995</v>
      </c>
      <c r="M10" s="293">
        <f t="shared" si="6"/>
        <v>1739223.0000000005</v>
      </c>
      <c r="N10" s="312">
        <v>0.7</v>
      </c>
      <c r="O10" s="292">
        <v>0</v>
      </c>
      <c r="P10" s="292">
        <v>4058186.9999999995</v>
      </c>
      <c r="Q10" s="291"/>
      <c r="R10" s="291"/>
      <c r="S10" s="291"/>
      <c r="T10" s="291"/>
      <c r="U10" s="291"/>
      <c r="V10" s="291"/>
      <c r="W10" s="291"/>
      <c r="X10" s="291"/>
      <c r="Y10" s="545" t="b">
        <f t="shared" si="0"/>
        <v>1</v>
      </c>
      <c r="Z10" s="546">
        <f t="shared" si="1"/>
        <v>0.7</v>
      </c>
      <c r="AA10" s="547" t="b">
        <f t="shared" si="2"/>
        <v>1</v>
      </c>
      <c r="AB10" s="547" t="b">
        <f t="shared" si="3"/>
        <v>1</v>
      </c>
    </row>
    <row r="11" spans="1:28" s="180" customFormat="1" ht="22.5">
      <c r="A11" s="277">
        <v>9</v>
      </c>
      <c r="B11" s="335" t="s">
        <v>805</v>
      </c>
      <c r="C11" s="278" t="s">
        <v>66</v>
      </c>
      <c r="D11" s="277" t="s">
        <v>79</v>
      </c>
      <c r="E11" s="336">
        <v>2464011</v>
      </c>
      <c r="F11" s="264" t="s">
        <v>315</v>
      </c>
      <c r="G11" s="386" t="s">
        <v>796</v>
      </c>
      <c r="H11" s="264" t="s">
        <v>121</v>
      </c>
      <c r="I11" s="282" t="s">
        <v>814</v>
      </c>
      <c r="J11" s="283" t="s">
        <v>407</v>
      </c>
      <c r="K11" s="337">
        <v>10208647</v>
      </c>
      <c r="L11" s="270">
        <f>K11*50%</f>
        <v>5104323.5</v>
      </c>
      <c r="M11" s="269">
        <f t="shared" si="6"/>
        <v>5104323.5</v>
      </c>
      <c r="N11" s="311">
        <v>0.5</v>
      </c>
      <c r="O11" s="270">
        <v>0</v>
      </c>
      <c r="P11" s="270">
        <v>2318392</v>
      </c>
      <c r="Q11" s="273">
        <v>2785931.5</v>
      </c>
      <c r="R11" s="273"/>
      <c r="S11" s="273"/>
      <c r="T11" s="273"/>
      <c r="U11" s="273"/>
      <c r="V11" s="273"/>
      <c r="W11" s="273"/>
      <c r="X11" s="273"/>
      <c r="Y11" s="545" t="b">
        <f t="shared" si="0"/>
        <v>1</v>
      </c>
      <c r="Z11" s="546">
        <f t="shared" si="1"/>
        <v>0.5</v>
      </c>
      <c r="AA11" s="547" t="b">
        <f t="shared" si="2"/>
        <v>1</v>
      </c>
      <c r="AB11" s="547" t="b">
        <f t="shared" si="3"/>
        <v>1</v>
      </c>
    </row>
    <row r="12" spans="1:28" ht="22.5">
      <c r="A12" s="325">
        <v>10</v>
      </c>
      <c r="B12" s="338" t="s">
        <v>806</v>
      </c>
      <c r="C12" s="285" t="s">
        <v>67</v>
      </c>
      <c r="D12" s="329" t="s">
        <v>789</v>
      </c>
      <c r="E12" s="332">
        <v>2404122</v>
      </c>
      <c r="F12" s="284" t="s">
        <v>415</v>
      </c>
      <c r="G12" s="330" t="s">
        <v>797</v>
      </c>
      <c r="H12" s="284" t="s">
        <v>123</v>
      </c>
      <c r="I12" s="289">
        <v>1.2689999999999999</v>
      </c>
      <c r="J12" s="290" t="s">
        <v>400</v>
      </c>
      <c r="K12" s="339">
        <v>3059987</v>
      </c>
      <c r="L12" s="292">
        <f t="shared" ref="L12:L17" si="7">K12*50%</f>
        <v>1529993.5</v>
      </c>
      <c r="M12" s="293">
        <f t="shared" si="6"/>
        <v>1529993.5</v>
      </c>
      <c r="N12" s="312">
        <v>0.5</v>
      </c>
      <c r="O12" s="292">
        <v>0</v>
      </c>
      <c r="P12" s="292">
        <v>1529993.5</v>
      </c>
      <c r="Q12" s="291"/>
      <c r="R12" s="291"/>
      <c r="S12" s="291"/>
      <c r="T12" s="291"/>
      <c r="U12" s="291"/>
      <c r="V12" s="291"/>
      <c r="W12" s="291"/>
      <c r="X12" s="291"/>
      <c r="Y12" s="545" t="b">
        <f t="shared" si="0"/>
        <v>1</v>
      </c>
      <c r="Z12" s="546">
        <f t="shared" si="1"/>
        <v>0.5</v>
      </c>
      <c r="AA12" s="547" t="b">
        <f t="shared" si="2"/>
        <v>1</v>
      </c>
      <c r="AB12" s="547" t="b">
        <f t="shared" si="3"/>
        <v>1</v>
      </c>
    </row>
    <row r="13" spans="1:28" s="180" customFormat="1" ht="45">
      <c r="A13" s="277">
        <v>11</v>
      </c>
      <c r="B13" s="335" t="s">
        <v>807</v>
      </c>
      <c r="C13" s="278" t="s">
        <v>66</v>
      </c>
      <c r="D13" s="277" t="s">
        <v>790</v>
      </c>
      <c r="E13" s="336" t="s">
        <v>594</v>
      </c>
      <c r="F13" s="264" t="s">
        <v>330</v>
      </c>
      <c r="G13" s="386" t="s">
        <v>798</v>
      </c>
      <c r="H13" s="264" t="s">
        <v>123</v>
      </c>
      <c r="I13" s="282">
        <v>5.3680000000000003</v>
      </c>
      <c r="J13" s="283" t="s">
        <v>816</v>
      </c>
      <c r="K13" s="337">
        <v>10967214</v>
      </c>
      <c r="L13" s="270">
        <f t="shared" si="7"/>
        <v>5483607</v>
      </c>
      <c r="M13" s="269">
        <f t="shared" si="6"/>
        <v>5483607</v>
      </c>
      <c r="N13" s="311">
        <v>0.5</v>
      </c>
      <c r="O13" s="270">
        <v>0</v>
      </c>
      <c r="P13" s="270">
        <v>3092924.5</v>
      </c>
      <c r="Q13" s="273">
        <v>2390682.5</v>
      </c>
      <c r="R13" s="273"/>
      <c r="S13" s="273"/>
      <c r="T13" s="273"/>
      <c r="U13" s="273"/>
      <c r="V13" s="273"/>
      <c r="W13" s="273"/>
      <c r="X13" s="273"/>
      <c r="Y13" s="545" t="b">
        <f t="shared" si="0"/>
        <v>1</v>
      </c>
      <c r="Z13" s="546">
        <f t="shared" si="1"/>
        <v>0.5</v>
      </c>
      <c r="AA13" s="547" t="b">
        <f t="shared" si="2"/>
        <v>1</v>
      </c>
      <c r="AB13" s="547" t="b">
        <f t="shared" si="3"/>
        <v>1</v>
      </c>
    </row>
    <row r="14" spans="1:28" s="180" customFormat="1" ht="22.5">
      <c r="A14" s="277">
        <v>12</v>
      </c>
      <c r="B14" s="335" t="s">
        <v>809</v>
      </c>
      <c r="C14" s="278" t="s">
        <v>66</v>
      </c>
      <c r="D14" s="277" t="s">
        <v>792</v>
      </c>
      <c r="E14" s="336" t="s">
        <v>597</v>
      </c>
      <c r="F14" s="264" t="s">
        <v>330</v>
      </c>
      <c r="G14" s="386" t="s">
        <v>800</v>
      </c>
      <c r="H14" s="264" t="s">
        <v>121</v>
      </c>
      <c r="I14" s="282">
        <v>0.97199999999999998</v>
      </c>
      <c r="J14" s="283" t="s">
        <v>817</v>
      </c>
      <c r="K14" s="339">
        <v>4327666</v>
      </c>
      <c r="L14" s="270">
        <f t="shared" si="7"/>
        <v>2163833</v>
      </c>
      <c r="M14" s="269">
        <f t="shared" si="6"/>
        <v>2163833</v>
      </c>
      <c r="N14" s="311">
        <v>0.5</v>
      </c>
      <c r="O14" s="270">
        <v>0</v>
      </c>
      <c r="P14" s="270">
        <v>923049</v>
      </c>
      <c r="Q14" s="273">
        <v>1240784</v>
      </c>
      <c r="R14" s="273"/>
      <c r="S14" s="273"/>
      <c r="T14" s="273"/>
      <c r="U14" s="273"/>
      <c r="V14" s="273"/>
      <c r="W14" s="273"/>
      <c r="X14" s="273"/>
      <c r="Y14" s="545" t="b">
        <f t="shared" si="0"/>
        <v>1</v>
      </c>
      <c r="Z14" s="546">
        <f t="shared" si="1"/>
        <v>0.5</v>
      </c>
      <c r="AA14" s="547" t="b">
        <f t="shared" si="2"/>
        <v>1</v>
      </c>
      <c r="AB14" s="547" t="b">
        <f t="shared" si="3"/>
        <v>1</v>
      </c>
    </row>
    <row r="15" spans="1:28" ht="22.5">
      <c r="A15" s="325">
        <v>13</v>
      </c>
      <c r="B15" s="338" t="s">
        <v>810</v>
      </c>
      <c r="C15" s="285" t="s">
        <v>67</v>
      </c>
      <c r="D15" s="329" t="s">
        <v>793</v>
      </c>
      <c r="E15" s="332" t="s">
        <v>512</v>
      </c>
      <c r="F15" s="284" t="s">
        <v>411</v>
      </c>
      <c r="G15" s="330" t="s">
        <v>801</v>
      </c>
      <c r="H15" s="284" t="s">
        <v>121</v>
      </c>
      <c r="I15" s="289">
        <v>0.29799999999999999</v>
      </c>
      <c r="J15" s="290" t="s">
        <v>433</v>
      </c>
      <c r="K15" s="339">
        <v>882544</v>
      </c>
      <c r="L15" s="292">
        <f t="shared" si="7"/>
        <v>441272</v>
      </c>
      <c r="M15" s="293">
        <f t="shared" si="6"/>
        <v>441272</v>
      </c>
      <c r="N15" s="312">
        <v>0.5</v>
      </c>
      <c r="O15" s="292">
        <v>0</v>
      </c>
      <c r="P15" s="292">
        <v>441272</v>
      </c>
      <c r="Q15" s="291"/>
      <c r="R15" s="291"/>
      <c r="S15" s="291"/>
      <c r="T15" s="291"/>
      <c r="U15" s="291"/>
      <c r="V15" s="291"/>
      <c r="W15" s="291"/>
      <c r="X15" s="291"/>
      <c r="Y15" s="545" t="b">
        <f t="shared" si="0"/>
        <v>1</v>
      </c>
      <c r="Z15" s="546">
        <f t="shared" si="1"/>
        <v>0.5</v>
      </c>
      <c r="AA15" s="547" t="b">
        <f t="shared" si="2"/>
        <v>1</v>
      </c>
      <c r="AB15" s="547" t="b">
        <f t="shared" si="3"/>
        <v>1</v>
      </c>
    </row>
    <row r="16" spans="1:28" s="180" customFormat="1" ht="22.5">
      <c r="A16" s="277">
        <v>14</v>
      </c>
      <c r="B16" s="335" t="s">
        <v>811</v>
      </c>
      <c r="C16" s="278" t="s">
        <v>66</v>
      </c>
      <c r="D16" s="277" t="s">
        <v>794</v>
      </c>
      <c r="E16" s="336" t="s">
        <v>612</v>
      </c>
      <c r="F16" s="264" t="s">
        <v>309</v>
      </c>
      <c r="G16" s="386" t="s">
        <v>802</v>
      </c>
      <c r="H16" s="264" t="s">
        <v>123</v>
      </c>
      <c r="I16" s="282">
        <v>0.88800000000000001</v>
      </c>
      <c r="J16" s="283" t="s">
        <v>818</v>
      </c>
      <c r="K16" s="339">
        <v>4362898</v>
      </c>
      <c r="L16" s="270">
        <f>K16*55%</f>
        <v>2399593.9000000004</v>
      </c>
      <c r="M16" s="269">
        <f t="shared" si="6"/>
        <v>1963304.0999999996</v>
      </c>
      <c r="N16" s="311">
        <v>0.55000000000000004</v>
      </c>
      <c r="O16" s="270">
        <v>0</v>
      </c>
      <c r="P16" s="270">
        <v>1799695.1500000001</v>
      </c>
      <c r="Q16" s="273">
        <v>599898.75</v>
      </c>
      <c r="R16" s="273"/>
      <c r="S16" s="273"/>
      <c r="T16" s="273"/>
      <c r="U16" s="273"/>
      <c r="V16" s="273"/>
      <c r="W16" s="273"/>
      <c r="X16" s="273"/>
      <c r="Y16" s="545" t="b">
        <f t="shared" si="0"/>
        <v>1</v>
      </c>
      <c r="Z16" s="546">
        <f t="shared" si="1"/>
        <v>0.55000000000000004</v>
      </c>
      <c r="AA16" s="547" t="b">
        <f t="shared" si="2"/>
        <v>1</v>
      </c>
      <c r="AB16" s="547" t="b">
        <f t="shared" si="3"/>
        <v>1</v>
      </c>
    </row>
    <row r="17" spans="1:28" ht="22.5">
      <c r="A17" s="325">
        <v>15</v>
      </c>
      <c r="B17" s="338" t="s">
        <v>812</v>
      </c>
      <c r="C17" s="285" t="s">
        <v>67</v>
      </c>
      <c r="D17" s="329" t="s">
        <v>795</v>
      </c>
      <c r="E17" s="332" t="s">
        <v>460</v>
      </c>
      <c r="F17" s="284" t="s">
        <v>478</v>
      </c>
      <c r="G17" s="330" t="s">
        <v>803</v>
      </c>
      <c r="H17" s="284" t="s">
        <v>121</v>
      </c>
      <c r="I17" s="289">
        <v>0.34300000000000003</v>
      </c>
      <c r="J17" s="290" t="s">
        <v>819</v>
      </c>
      <c r="K17" s="339">
        <v>5550689</v>
      </c>
      <c r="L17" s="292">
        <f t="shared" si="7"/>
        <v>2775344.5</v>
      </c>
      <c r="M17" s="293">
        <f t="shared" si="6"/>
        <v>2775344.5</v>
      </c>
      <c r="N17" s="312">
        <v>0.5</v>
      </c>
      <c r="O17" s="292">
        <v>0</v>
      </c>
      <c r="P17" s="292">
        <v>2775344.5</v>
      </c>
      <c r="Q17" s="291"/>
      <c r="R17" s="291"/>
      <c r="S17" s="291"/>
      <c r="T17" s="291"/>
      <c r="U17" s="291"/>
      <c r="V17" s="291"/>
      <c r="W17" s="291"/>
      <c r="X17" s="291"/>
      <c r="Y17" s="545" t="b">
        <f t="shared" si="0"/>
        <v>1</v>
      </c>
      <c r="Z17" s="546">
        <f t="shared" si="1"/>
        <v>0.5</v>
      </c>
      <c r="AA17" s="547" t="b">
        <f t="shared" si="2"/>
        <v>1</v>
      </c>
      <c r="AB17" s="547" t="b">
        <f t="shared" si="3"/>
        <v>1</v>
      </c>
    </row>
    <row r="18" spans="1:28" s="180" customFormat="1" ht="33.75">
      <c r="A18" s="277">
        <v>16</v>
      </c>
      <c r="B18" s="335" t="s">
        <v>813</v>
      </c>
      <c r="C18" s="278" t="s">
        <v>66</v>
      </c>
      <c r="D18" s="277" t="s">
        <v>319</v>
      </c>
      <c r="E18" s="336" t="s">
        <v>565</v>
      </c>
      <c r="F18" s="264" t="s">
        <v>320</v>
      </c>
      <c r="G18" s="386" t="s">
        <v>804</v>
      </c>
      <c r="H18" s="264" t="s">
        <v>121</v>
      </c>
      <c r="I18" s="282">
        <v>1.214</v>
      </c>
      <c r="J18" s="283" t="s">
        <v>820</v>
      </c>
      <c r="K18" s="339">
        <v>5649583</v>
      </c>
      <c r="L18" s="270">
        <f>K18*60%</f>
        <v>3389749.8</v>
      </c>
      <c r="M18" s="269">
        <f>K18-L18</f>
        <v>2259833.2000000002</v>
      </c>
      <c r="N18" s="311">
        <v>0.6</v>
      </c>
      <c r="O18" s="270">
        <v>0</v>
      </c>
      <c r="P18" s="270">
        <v>1129916.3999999999</v>
      </c>
      <c r="Q18" s="273">
        <v>1129916.3999999999</v>
      </c>
      <c r="R18" s="273">
        <v>1129917</v>
      </c>
      <c r="S18" s="273"/>
      <c r="T18" s="273"/>
      <c r="U18" s="273"/>
      <c r="V18" s="273"/>
      <c r="W18" s="273"/>
      <c r="X18" s="273"/>
      <c r="Y18" s="545" t="b">
        <f t="shared" si="0"/>
        <v>1</v>
      </c>
      <c r="Z18" s="546">
        <f t="shared" si="1"/>
        <v>0.6</v>
      </c>
      <c r="AA18" s="547" t="b">
        <f t="shared" si="2"/>
        <v>1</v>
      </c>
      <c r="AB18" s="547" t="b">
        <f t="shared" si="3"/>
        <v>1</v>
      </c>
    </row>
    <row r="19" spans="1:28" ht="22.5">
      <c r="A19" s="325">
        <v>17</v>
      </c>
      <c r="B19" s="338" t="s">
        <v>822</v>
      </c>
      <c r="C19" s="285" t="s">
        <v>67</v>
      </c>
      <c r="D19" s="338" t="s">
        <v>821</v>
      </c>
      <c r="E19" s="332" t="s">
        <v>502</v>
      </c>
      <c r="F19" s="284" t="s">
        <v>306</v>
      </c>
      <c r="G19" s="330" t="s">
        <v>824</v>
      </c>
      <c r="H19" s="284" t="s">
        <v>123</v>
      </c>
      <c r="I19" s="289">
        <v>1.0840000000000001</v>
      </c>
      <c r="J19" s="290" t="s">
        <v>405</v>
      </c>
      <c r="K19" s="339">
        <v>2002247</v>
      </c>
      <c r="L19" s="292">
        <f>K19*50%</f>
        <v>1001123.5</v>
      </c>
      <c r="M19" s="293">
        <f>K19-L19</f>
        <v>1001123.5</v>
      </c>
      <c r="N19" s="312">
        <v>0.5</v>
      </c>
      <c r="O19" s="292">
        <v>0</v>
      </c>
      <c r="P19" s="292">
        <v>1001123.5</v>
      </c>
      <c r="Q19" s="291"/>
      <c r="R19" s="291"/>
      <c r="S19" s="291"/>
      <c r="T19" s="291"/>
      <c r="U19" s="291"/>
      <c r="V19" s="291"/>
      <c r="W19" s="291"/>
      <c r="X19" s="291"/>
      <c r="Y19" s="545" t="b">
        <f t="shared" si="0"/>
        <v>1</v>
      </c>
      <c r="Z19" s="546">
        <f t="shared" si="1"/>
        <v>0.5</v>
      </c>
      <c r="AA19" s="547" t="b">
        <f t="shared" si="2"/>
        <v>1</v>
      </c>
      <c r="AB19" s="547" t="b">
        <f t="shared" si="3"/>
        <v>1</v>
      </c>
    </row>
    <row r="20" spans="1:28" ht="22.5">
      <c r="A20" s="340" t="s">
        <v>836</v>
      </c>
      <c r="B20" s="338" t="s">
        <v>823</v>
      </c>
      <c r="C20" s="285" t="s">
        <v>67</v>
      </c>
      <c r="D20" s="338" t="s">
        <v>826</v>
      </c>
      <c r="E20" s="332" t="s">
        <v>507</v>
      </c>
      <c r="F20" s="284" t="s">
        <v>411</v>
      </c>
      <c r="G20" s="330" t="s">
        <v>825</v>
      </c>
      <c r="H20" s="284" t="s">
        <v>123</v>
      </c>
      <c r="I20" s="289">
        <v>0.40100000000000002</v>
      </c>
      <c r="J20" s="290" t="s">
        <v>431</v>
      </c>
      <c r="K20" s="339">
        <v>4423784</v>
      </c>
      <c r="L20" s="292">
        <v>556415.26000000536</v>
      </c>
      <c r="M20" s="293">
        <f t="shared" ref="M20" si="8">K20-L20</f>
        <v>3867368.7399999946</v>
      </c>
      <c r="N20" s="312">
        <v>0.5</v>
      </c>
      <c r="O20" s="292">
        <v>0</v>
      </c>
      <c r="P20" s="292">
        <v>556415.26000000536</v>
      </c>
      <c r="Q20" s="291"/>
      <c r="R20" s="291"/>
      <c r="S20" s="291"/>
      <c r="T20" s="291"/>
      <c r="U20" s="291"/>
      <c r="V20" s="291"/>
      <c r="W20" s="291"/>
      <c r="X20" s="291"/>
      <c r="Y20" s="545" t="b">
        <f t="shared" si="0"/>
        <v>1</v>
      </c>
      <c r="Z20" s="546">
        <f t="shared" si="1"/>
        <v>0.1258</v>
      </c>
      <c r="AA20" s="547" t="b">
        <f t="shared" si="2"/>
        <v>0</v>
      </c>
      <c r="AB20" s="547" t="b">
        <f t="shared" si="3"/>
        <v>1</v>
      </c>
    </row>
    <row r="21" spans="1:28" ht="20.100000000000001" customHeight="1">
      <c r="A21" s="548" t="s">
        <v>42</v>
      </c>
      <c r="B21" s="549"/>
      <c r="C21" s="549"/>
      <c r="D21" s="549"/>
      <c r="E21" s="549"/>
      <c r="F21" s="549"/>
      <c r="G21" s="549"/>
      <c r="H21" s="550"/>
      <c r="I21" s="303">
        <f>SUM(I3:I20)</f>
        <v>16.62</v>
      </c>
      <c r="J21" s="551" t="s">
        <v>13</v>
      </c>
      <c r="K21" s="341">
        <f>SUM(K3:K20)</f>
        <v>72785823</v>
      </c>
      <c r="L21" s="552">
        <f>SUM(L3:L20)</f>
        <v>36680019.960000001</v>
      </c>
      <c r="M21" s="552">
        <f>SUM(M3:M20)</f>
        <v>36105803.039999992</v>
      </c>
      <c r="N21" s="312" t="s">
        <v>13</v>
      </c>
      <c r="O21" s="553">
        <f>SUM(O8:O17)</f>
        <v>0</v>
      </c>
      <c r="P21" s="553">
        <f t="shared" ref="P21:X21" si="9">SUM(P3:P20)</f>
        <v>26234889.810000002</v>
      </c>
      <c r="Q21" s="553">
        <f t="shared" si="9"/>
        <v>9315213.1500000004</v>
      </c>
      <c r="R21" s="553">
        <f t="shared" si="9"/>
        <v>1129917</v>
      </c>
      <c r="S21" s="553">
        <f t="shared" si="9"/>
        <v>0</v>
      </c>
      <c r="T21" s="553">
        <f t="shared" si="9"/>
        <v>0</v>
      </c>
      <c r="U21" s="553">
        <f t="shared" si="9"/>
        <v>0</v>
      </c>
      <c r="V21" s="553">
        <f t="shared" si="9"/>
        <v>0</v>
      </c>
      <c r="W21" s="553">
        <f t="shared" si="9"/>
        <v>0</v>
      </c>
      <c r="X21" s="553">
        <f t="shared" si="9"/>
        <v>0</v>
      </c>
      <c r="Y21" s="545" t="b">
        <f t="shared" si="0"/>
        <v>1</v>
      </c>
      <c r="Z21" s="546">
        <f t="shared" si="1"/>
        <v>0.50390000000000001</v>
      </c>
      <c r="AA21" s="547" t="b">
        <f t="shared" si="2"/>
        <v>0</v>
      </c>
      <c r="AB21" s="547" t="b">
        <f t="shared" si="3"/>
        <v>1</v>
      </c>
    </row>
    <row r="22" spans="1:28" ht="20.100000000000001" customHeight="1">
      <c r="A22" s="548" t="s">
        <v>36</v>
      </c>
      <c r="B22" s="549"/>
      <c r="C22" s="549"/>
      <c r="D22" s="549"/>
      <c r="E22" s="549"/>
      <c r="F22" s="549"/>
      <c r="G22" s="549"/>
      <c r="H22" s="550"/>
      <c r="I22" s="303">
        <f>SUMIF($C$3:$C$20,"N",I3:I20)</f>
        <v>5.5879999999999992</v>
      </c>
      <c r="J22" s="551" t="s">
        <v>13</v>
      </c>
      <c r="K22" s="341">
        <f>SUMIF($C$3:$C$20,"N",K3:K20)</f>
        <v>31393815</v>
      </c>
      <c r="L22" s="552">
        <f>SUMIF($C$3:$C$20,"N",L3:L20)</f>
        <v>15200912.760000005</v>
      </c>
      <c r="M22" s="552">
        <f>SUMIF($C$3:$C$20,"N",M3:M20)</f>
        <v>16192902.239999995</v>
      </c>
      <c r="N22" s="312" t="s">
        <v>13</v>
      </c>
      <c r="O22" s="553">
        <f>SUMIF($C$8:$C$17,"N",O8:O17)</f>
        <v>0</v>
      </c>
      <c r="P22" s="553">
        <f t="shared" ref="P22:X22" si="10">SUMIF($C$3:$C$20,"N",P3:P20)</f>
        <v>15200912.760000005</v>
      </c>
      <c r="Q22" s="553">
        <f t="shared" si="10"/>
        <v>0</v>
      </c>
      <c r="R22" s="553">
        <f t="shared" si="10"/>
        <v>0</v>
      </c>
      <c r="S22" s="553">
        <f t="shared" si="10"/>
        <v>0</v>
      </c>
      <c r="T22" s="553">
        <f t="shared" si="10"/>
        <v>0</v>
      </c>
      <c r="U22" s="553">
        <f t="shared" si="10"/>
        <v>0</v>
      </c>
      <c r="V22" s="553">
        <f t="shared" si="10"/>
        <v>0</v>
      </c>
      <c r="W22" s="553">
        <f t="shared" si="10"/>
        <v>0</v>
      </c>
      <c r="X22" s="553">
        <f t="shared" si="10"/>
        <v>0</v>
      </c>
      <c r="Y22" s="545" t="b">
        <f t="shared" si="0"/>
        <v>1</v>
      </c>
      <c r="Z22" s="546">
        <f t="shared" si="1"/>
        <v>0.48420000000000002</v>
      </c>
      <c r="AA22" s="547" t="b">
        <f t="shared" si="2"/>
        <v>0</v>
      </c>
      <c r="AB22" s="547" t="b">
        <f t="shared" si="3"/>
        <v>1</v>
      </c>
    </row>
    <row r="23" spans="1:28" ht="20.100000000000001" customHeight="1">
      <c r="A23" s="554" t="s">
        <v>37</v>
      </c>
      <c r="B23" s="555"/>
      <c r="C23" s="555"/>
      <c r="D23" s="555"/>
      <c r="E23" s="555"/>
      <c r="F23" s="555"/>
      <c r="G23" s="555"/>
      <c r="H23" s="556"/>
      <c r="I23" s="307">
        <f>SUMIF($C$3:$C$20,"W",I3:I20)</f>
        <v>11.032</v>
      </c>
      <c r="J23" s="308" t="s">
        <v>13</v>
      </c>
      <c r="K23" s="342">
        <f>SUMIF($C$3:$C$20,"W",K3:K20)</f>
        <v>41392008</v>
      </c>
      <c r="L23" s="389">
        <f>SUMIF($C$3:$C$20,"W",L3:L20)</f>
        <v>21479107.199999999</v>
      </c>
      <c r="M23" s="389">
        <f>SUMIF($C$3:$C$20,"W",M3:M20)</f>
        <v>19912900.800000001</v>
      </c>
      <c r="N23" s="311" t="s">
        <v>13</v>
      </c>
      <c r="O23" s="269">
        <f>SUMIF($C$8:$C$17,"W",O8:O17)</f>
        <v>0</v>
      </c>
      <c r="P23" s="269">
        <f t="shared" ref="P23:X23" si="11">SUMIF($C$3:$C$20,"W",P3:P20)</f>
        <v>11033977.050000001</v>
      </c>
      <c r="Q23" s="269">
        <f t="shared" si="11"/>
        <v>9315213.1500000004</v>
      </c>
      <c r="R23" s="269">
        <f t="shared" si="11"/>
        <v>1129917</v>
      </c>
      <c r="S23" s="269">
        <f t="shared" si="11"/>
        <v>0</v>
      </c>
      <c r="T23" s="269">
        <f t="shared" si="11"/>
        <v>0</v>
      </c>
      <c r="U23" s="269">
        <f t="shared" si="11"/>
        <v>0</v>
      </c>
      <c r="V23" s="269">
        <f t="shared" si="11"/>
        <v>0</v>
      </c>
      <c r="W23" s="269">
        <f t="shared" si="11"/>
        <v>0</v>
      </c>
      <c r="X23" s="269">
        <f t="shared" si="11"/>
        <v>0</v>
      </c>
      <c r="Y23" s="545" t="b">
        <f t="shared" si="0"/>
        <v>1</v>
      </c>
      <c r="Z23" s="546">
        <f t="shared" si="1"/>
        <v>0.51890000000000003</v>
      </c>
      <c r="AA23" s="547" t="b">
        <f t="shared" si="2"/>
        <v>0</v>
      </c>
      <c r="AB23" s="547" t="b">
        <f t="shared" si="3"/>
        <v>1</v>
      </c>
    </row>
    <row r="24" spans="1:28" ht="24" customHeight="1">
      <c r="A24" s="459" t="s">
        <v>22</v>
      </c>
      <c r="B24" s="557"/>
      <c r="C24" s="557"/>
      <c r="D24" s="558"/>
      <c r="E24" s="343"/>
      <c r="F24" s="543"/>
      <c r="G24" s="343"/>
      <c r="H24" s="343"/>
      <c r="I24" s="343"/>
      <c r="J24" s="5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  <c r="AB24" s="559"/>
    </row>
    <row r="25" spans="1:28" ht="24" customHeight="1">
      <c r="A25" s="458" t="s">
        <v>21</v>
      </c>
      <c r="B25" s="560"/>
      <c r="C25" s="560"/>
      <c r="D25" s="560"/>
      <c r="E25" s="343"/>
      <c r="F25" s="543"/>
      <c r="G25" s="343"/>
      <c r="H25" s="343"/>
      <c r="I25" s="343"/>
      <c r="J25" s="543"/>
      <c r="K25" s="343"/>
      <c r="L25" s="343"/>
      <c r="M25" s="343"/>
      <c r="N25" s="5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559"/>
    </row>
    <row r="26" spans="1:28" ht="12.75" customHeight="1">
      <c r="A26" s="458" t="s">
        <v>33</v>
      </c>
      <c r="B26" s="561"/>
      <c r="C26" s="561"/>
      <c r="D26" s="562"/>
      <c r="E26" s="343"/>
      <c r="F26" s="543"/>
      <c r="G26" s="343"/>
      <c r="H26" s="343"/>
      <c r="I26" s="343"/>
      <c r="J26" s="543"/>
      <c r="K26" s="343"/>
      <c r="L26" s="343"/>
      <c r="M26" s="343"/>
      <c r="N26" s="5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559"/>
    </row>
    <row r="27" spans="1:28" ht="12.75" customHeight="1">
      <c r="A27" s="563" t="s">
        <v>828</v>
      </c>
      <c r="B27" s="343"/>
      <c r="C27" s="343"/>
      <c r="D27" s="343"/>
      <c r="E27" s="343"/>
      <c r="F27" s="543"/>
      <c r="G27" s="343"/>
      <c r="H27" s="343"/>
      <c r="I27" s="343"/>
      <c r="J27" s="543"/>
      <c r="K27" s="343"/>
      <c r="L27" s="343"/>
      <c r="M27" s="343"/>
      <c r="N27" s="5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</row>
    <row r="28" spans="1:28">
      <c r="A28" s="236"/>
    </row>
    <row r="29" spans="1:28">
      <c r="A29" s="170"/>
    </row>
  </sheetData>
  <mergeCells count="21"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  <mergeCell ref="O1:X1"/>
    <mergeCell ref="M1:M2"/>
    <mergeCell ref="N1:N2"/>
    <mergeCell ref="I1:I2"/>
    <mergeCell ref="J1:J2"/>
    <mergeCell ref="K1:K2"/>
    <mergeCell ref="L1:L2"/>
  </mergeCells>
  <conditionalFormatting sqref="AB24:AB26 Y3:AB23">
    <cfRule type="cellIs" dxfId="7" priority="52" operator="equal">
      <formula>FALSE</formula>
    </cfRule>
  </conditionalFormatting>
  <dataValidations count="2">
    <dataValidation type="custom" allowBlank="1" showInputMessage="1" showErrorMessage="1" sqref="G3:G9 B3:B9 B11:B20 D11:D19 K10:K20 G11:G20 D3 D5 D8:D9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showGridLines="0" view="pageBreakPreview" zoomScale="130" zoomScaleNormal="78" zoomScaleSheetLayoutView="130" workbookViewId="0">
      <selection activeCell="F14" sqref="F14"/>
    </sheetView>
  </sheetViews>
  <sheetFormatPr defaultColWidth="9.140625" defaultRowHeight="1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>
      <c r="A1" s="454" t="s">
        <v>3</v>
      </c>
      <c r="B1" s="455" t="s">
        <v>5</v>
      </c>
      <c r="C1" s="460" t="s">
        <v>30</v>
      </c>
      <c r="D1" s="460" t="s">
        <v>43</v>
      </c>
      <c r="E1" s="454" t="s">
        <v>10</v>
      </c>
    </row>
    <row r="2" spans="1:6" ht="39" customHeight="1">
      <c r="A2" s="454"/>
      <c r="B2" s="456"/>
      <c r="C2" s="461"/>
      <c r="D2" s="461"/>
      <c r="E2" s="454"/>
    </row>
    <row r="3" spans="1:6" s="38" customFormat="1">
      <c r="A3" s="42">
        <v>1</v>
      </c>
      <c r="B3" s="159" t="s">
        <v>449</v>
      </c>
      <c r="C3" s="160">
        <v>2406</v>
      </c>
      <c r="D3" s="101">
        <v>0.74303954695078289</v>
      </c>
      <c r="E3" s="44">
        <v>0.7</v>
      </c>
      <c r="F3" s="39"/>
    </row>
    <row r="4" spans="1:6" s="38" customFormat="1">
      <c r="A4" s="42">
        <v>2</v>
      </c>
      <c r="B4" s="159" t="s">
        <v>459</v>
      </c>
      <c r="C4" s="160">
        <v>2417</v>
      </c>
      <c r="D4" s="101">
        <v>0.76624181601918595</v>
      </c>
      <c r="E4" s="44">
        <v>0.65</v>
      </c>
      <c r="F4" s="39"/>
    </row>
    <row r="5" spans="1:6" s="38" customFormat="1">
      <c r="A5" s="42">
        <v>3</v>
      </c>
      <c r="B5" s="159" t="s">
        <v>452</v>
      </c>
      <c r="C5" s="160">
        <v>2409</v>
      </c>
      <c r="D5" s="101">
        <v>0.79925463997266721</v>
      </c>
      <c r="E5" s="44">
        <v>0.65</v>
      </c>
      <c r="F5" s="39"/>
    </row>
    <row r="6" spans="1:6">
      <c r="A6" s="42">
        <v>4</v>
      </c>
      <c r="B6" s="159" t="s">
        <v>448</v>
      </c>
      <c r="C6" s="160">
        <v>2405</v>
      </c>
      <c r="D6" s="101">
        <v>0.84088963712906828</v>
      </c>
      <c r="E6" s="44">
        <v>0.6</v>
      </c>
    </row>
    <row r="7" spans="1:6">
      <c r="A7" s="42">
        <v>5</v>
      </c>
      <c r="B7" s="159" t="s">
        <v>455</v>
      </c>
      <c r="C7" s="160">
        <v>2412</v>
      </c>
      <c r="D7" s="101">
        <v>0.84692796133058657</v>
      </c>
      <c r="E7" s="44">
        <v>0.6</v>
      </c>
    </row>
    <row r="8" spans="1:6">
      <c r="A8" s="42">
        <v>6</v>
      </c>
      <c r="B8" s="43" t="s">
        <v>444</v>
      </c>
      <c r="C8" s="43">
        <v>2402</v>
      </c>
      <c r="D8" s="101">
        <v>0.85010787800298504</v>
      </c>
      <c r="E8" s="44">
        <v>0.55000000000000004</v>
      </c>
    </row>
    <row r="9" spans="1:6">
      <c r="A9" s="42">
        <v>7</v>
      </c>
      <c r="B9" s="43" t="s">
        <v>443</v>
      </c>
      <c r="C9" s="43">
        <v>2401</v>
      </c>
      <c r="D9" s="101">
        <v>0.85885601356322183</v>
      </c>
      <c r="E9" s="44">
        <v>0.55000000000000004</v>
      </c>
    </row>
    <row r="10" spans="1:6">
      <c r="A10" s="42">
        <v>8</v>
      </c>
      <c r="B10" s="159" t="s">
        <v>446</v>
      </c>
      <c r="C10" s="160">
        <v>2403</v>
      </c>
      <c r="D10" s="101">
        <v>0.86167848641167832</v>
      </c>
      <c r="E10" s="44">
        <v>0.55000000000000004</v>
      </c>
    </row>
    <row r="11" spans="1:6">
      <c r="A11" s="42">
        <v>9</v>
      </c>
      <c r="B11" s="159" t="s">
        <v>453</v>
      </c>
      <c r="C11" s="160">
        <v>2410</v>
      </c>
      <c r="D11" s="101">
        <v>0.86864221551048226</v>
      </c>
      <c r="E11" s="44">
        <v>0.55000000000000004</v>
      </c>
    </row>
    <row r="12" spans="1:6">
      <c r="A12" s="42">
        <v>10</v>
      </c>
      <c r="B12" s="159" t="s">
        <v>454</v>
      </c>
      <c r="C12" s="160">
        <v>2411</v>
      </c>
      <c r="D12" s="101">
        <v>0.87035549576563054</v>
      </c>
      <c r="E12" s="44">
        <v>0.55000000000000004</v>
      </c>
    </row>
    <row r="13" spans="1:6">
      <c r="A13" s="42">
        <v>11</v>
      </c>
      <c r="B13" s="159" t="s">
        <v>451</v>
      </c>
      <c r="C13" s="160">
        <v>2408</v>
      </c>
      <c r="D13" s="101">
        <v>0.89233606137102173</v>
      </c>
      <c r="E13" s="44">
        <v>0.55000000000000004</v>
      </c>
    </row>
    <row r="14" spans="1:6">
      <c r="A14" s="42">
        <v>12</v>
      </c>
      <c r="B14" s="159" t="s">
        <v>458</v>
      </c>
      <c r="C14" s="160">
        <v>2416</v>
      </c>
      <c r="D14" s="101">
        <v>0.89485975981595367</v>
      </c>
      <c r="E14" s="44">
        <v>0.55000000000000004</v>
      </c>
    </row>
    <row r="15" spans="1:6">
      <c r="A15" s="42">
        <v>13</v>
      </c>
      <c r="B15" s="159" t="s">
        <v>456</v>
      </c>
      <c r="C15" s="160">
        <v>2413</v>
      </c>
      <c r="D15" s="101">
        <v>0.96134815275566898</v>
      </c>
      <c r="E15" s="44">
        <v>0.5</v>
      </c>
    </row>
    <row r="16" spans="1:6">
      <c r="A16" s="42">
        <v>14</v>
      </c>
      <c r="B16" s="159" t="s">
        <v>447</v>
      </c>
      <c r="C16" s="160">
        <v>2404</v>
      </c>
      <c r="D16" s="101">
        <v>0.96209598760996851</v>
      </c>
      <c r="E16" s="44">
        <v>0.5</v>
      </c>
    </row>
    <row r="17" spans="1:5">
      <c r="A17" s="42">
        <v>15</v>
      </c>
      <c r="B17" s="159" t="s">
        <v>457</v>
      </c>
      <c r="C17" s="160">
        <v>2415</v>
      </c>
      <c r="D17" s="101">
        <v>0.96448146361214315</v>
      </c>
      <c r="E17" s="44">
        <v>0.5</v>
      </c>
    </row>
    <row r="18" spans="1:5" ht="24">
      <c r="A18" s="42">
        <v>16</v>
      </c>
      <c r="B18" s="43" t="s">
        <v>445</v>
      </c>
      <c r="C18" s="43">
        <v>2414</v>
      </c>
      <c r="D18" s="101">
        <v>0.97302674855532578</v>
      </c>
      <c r="E18" s="44">
        <v>0.5</v>
      </c>
    </row>
    <row r="19" spans="1:5">
      <c r="A19" s="42">
        <v>17</v>
      </c>
      <c r="B19" s="159" t="s">
        <v>450</v>
      </c>
      <c r="C19" s="160">
        <v>2407</v>
      </c>
      <c r="D19" s="101">
        <v>1.1033883011046093</v>
      </c>
      <c r="E19" s="44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6" priority="14" operator="equal">
      <formula>FALSE</formula>
    </cfRule>
  </conditionalFormatting>
  <conditionalFormatting sqref="F3:F5">
    <cfRule type="cellIs" dxfId="5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0"/>
  <sheetViews>
    <sheetView showGridLines="0" view="pageBreakPreview" zoomScale="130" zoomScaleNormal="78" zoomScaleSheetLayoutView="130" workbookViewId="0">
      <selection activeCell="C131" sqref="C131"/>
    </sheetView>
  </sheetViews>
  <sheetFormatPr defaultColWidth="9.140625" defaultRowHeight="1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>
      <c r="A1" s="454" t="s">
        <v>3</v>
      </c>
      <c r="B1" s="455" t="s">
        <v>5</v>
      </c>
      <c r="C1" s="455" t="s">
        <v>30</v>
      </c>
      <c r="D1" s="455" t="s">
        <v>14</v>
      </c>
      <c r="E1" s="460" t="s">
        <v>43</v>
      </c>
      <c r="F1" s="454" t="s">
        <v>10</v>
      </c>
    </row>
    <row r="2" spans="1:8" ht="40.5" customHeight="1">
      <c r="A2" s="454"/>
      <c r="B2" s="456"/>
      <c r="C2" s="456"/>
      <c r="D2" s="456"/>
      <c r="E2" s="461"/>
      <c r="F2" s="454"/>
    </row>
    <row r="3" spans="1:8" ht="15.75" customHeight="1">
      <c r="A3" s="45">
        <v>1</v>
      </c>
      <c r="B3" s="159" t="s">
        <v>691</v>
      </c>
      <c r="C3" s="161" t="s">
        <v>544</v>
      </c>
      <c r="D3" s="159" t="s">
        <v>295</v>
      </c>
      <c r="E3" s="101">
        <v>0.71891745994265788</v>
      </c>
      <c r="F3" s="44">
        <v>0.7</v>
      </c>
      <c r="H3" s="162"/>
    </row>
    <row r="4" spans="1:8" ht="13.5" customHeight="1">
      <c r="A4" s="45">
        <v>2</v>
      </c>
      <c r="B4" s="159" t="s">
        <v>694</v>
      </c>
      <c r="C4" s="161" t="s">
        <v>547</v>
      </c>
      <c r="D4" s="159" t="s">
        <v>295</v>
      </c>
      <c r="E4" s="101">
        <v>0.74665525609142414</v>
      </c>
      <c r="F4" s="44">
        <v>0.7</v>
      </c>
      <c r="H4" s="162"/>
    </row>
    <row r="5" spans="1:8" ht="15" customHeight="1">
      <c r="A5" s="45">
        <v>3</v>
      </c>
      <c r="B5" s="159" t="s">
        <v>777</v>
      </c>
      <c r="C5" s="161" t="s">
        <v>631</v>
      </c>
      <c r="D5" s="159" t="s">
        <v>410</v>
      </c>
      <c r="E5" s="101">
        <v>0.76055290903076489</v>
      </c>
      <c r="F5" s="44">
        <v>0.65</v>
      </c>
    </row>
    <row r="6" spans="1:8">
      <c r="A6" s="45">
        <v>4</v>
      </c>
      <c r="B6" s="159" t="s">
        <v>727</v>
      </c>
      <c r="C6" s="161" t="s">
        <v>581</v>
      </c>
      <c r="D6" s="159" t="s">
        <v>311</v>
      </c>
      <c r="E6" s="101">
        <v>0.76252984729821705</v>
      </c>
      <c r="F6" s="44">
        <v>0.65</v>
      </c>
    </row>
    <row r="7" spans="1:8">
      <c r="A7" s="45">
        <v>5</v>
      </c>
      <c r="B7" s="159" t="s">
        <v>672</v>
      </c>
      <c r="C7" s="161" t="s">
        <v>525</v>
      </c>
      <c r="D7" s="159" t="s">
        <v>415</v>
      </c>
      <c r="E7" s="101">
        <v>0.76803832698560037</v>
      </c>
      <c r="F7" s="44">
        <v>0.65</v>
      </c>
    </row>
    <row r="8" spans="1:8">
      <c r="A8" s="45">
        <v>6</v>
      </c>
      <c r="B8" s="159" t="s">
        <v>669</v>
      </c>
      <c r="C8" s="161" t="s">
        <v>522</v>
      </c>
      <c r="D8" s="159" t="s">
        <v>415</v>
      </c>
      <c r="E8" s="101">
        <v>0.77456089639445724</v>
      </c>
      <c r="F8" s="44">
        <v>0.65</v>
      </c>
    </row>
    <row r="9" spans="1:8">
      <c r="A9" s="45">
        <v>7</v>
      </c>
      <c r="B9" s="159" t="s">
        <v>749</v>
      </c>
      <c r="C9" s="161" t="s">
        <v>603</v>
      </c>
      <c r="D9" s="159" t="s">
        <v>299</v>
      </c>
      <c r="E9" s="101">
        <v>0.7807424106782771</v>
      </c>
      <c r="F9" s="44">
        <v>0.65</v>
      </c>
    </row>
    <row r="10" spans="1:8">
      <c r="A10" s="45">
        <v>8</v>
      </c>
      <c r="B10" s="159" t="s">
        <v>767</v>
      </c>
      <c r="C10" s="161" t="s">
        <v>621</v>
      </c>
      <c r="D10" s="159" t="s">
        <v>309</v>
      </c>
      <c r="E10" s="101">
        <v>0.78644985101840681</v>
      </c>
      <c r="F10" s="44">
        <v>0.65</v>
      </c>
    </row>
    <row r="11" spans="1:8">
      <c r="A11" s="45">
        <v>9</v>
      </c>
      <c r="B11" s="159" t="s">
        <v>753</v>
      </c>
      <c r="C11" s="161" t="s">
        <v>607</v>
      </c>
      <c r="D11" s="159" t="s">
        <v>299</v>
      </c>
      <c r="E11" s="101">
        <v>0.78675169286099456</v>
      </c>
      <c r="F11" s="44">
        <v>0.65</v>
      </c>
    </row>
    <row r="12" spans="1:8">
      <c r="A12" s="45">
        <v>10</v>
      </c>
      <c r="B12" s="159" t="s">
        <v>704</v>
      </c>
      <c r="C12" s="161" t="s">
        <v>557</v>
      </c>
      <c r="D12" s="159" t="s">
        <v>413</v>
      </c>
      <c r="E12" s="101">
        <v>0.79261982689006383</v>
      </c>
      <c r="F12" s="44">
        <v>0.65</v>
      </c>
    </row>
    <row r="13" spans="1:8">
      <c r="A13" s="45">
        <v>11</v>
      </c>
      <c r="B13" s="159" t="s">
        <v>782</v>
      </c>
      <c r="C13" s="161" t="s">
        <v>636</v>
      </c>
      <c r="D13" s="159" t="s">
        <v>410</v>
      </c>
      <c r="E13" s="101">
        <v>0.80305452427833046</v>
      </c>
      <c r="F13" s="44">
        <v>0.6</v>
      </c>
    </row>
    <row r="14" spans="1:8">
      <c r="A14" s="45">
        <v>12</v>
      </c>
      <c r="B14" s="159" t="s">
        <v>772</v>
      </c>
      <c r="C14" s="161" t="s">
        <v>626</v>
      </c>
      <c r="D14" s="159" t="s">
        <v>410</v>
      </c>
      <c r="E14" s="101">
        <v>0.80551704945164937</v>
      </c>
      <c r="F14" s="44">
        <v>0.6</v>
      </c>
    </row>
    <row r="15" spans="1:8">
      <c r="A15" s="45">
        <v>13</v>
      </c>
      <c r="B15" s="159" t="s">
        <v>775</v>
      </c>
      <c r="C15" s="161" t="s">
        <v>629</v>
      </c>
      <c r="D15" s="159" t="s">
        <v>410</v>
      </c>
      <c r="E15" s="101">
        <v>0.80737812717695367</v>
      </c>
      <c r="F15" s="44">
        <v>0.6</v>
      </c>
    </row>
    <row r="16" spans="1:8">
      <c r="A16" s="45">
        <v>14</v>
      </c>
      <c r="B16" s="159" t="s">
        <v>658</v>
      </c>
      <c r="C16" s="161" t="s">
        <v>511</v>
      </c>
      <c r="D16" s="159" t="s">
        <v>411</v>
      </c>
      <c r="E16" s="101">
        <v>0.80745735706932398</v>
      </c>
      <c r="F16" s="44">
        <v>0.6</v>
      </c>
    </row>
    <row r="17" spans="1:6">
      <c r="A17" s="45">
        <v>15</v>
      </c>
      <c r="B17" s="159" t="s">
        <v>676</v>
      </c>
      <c r="C17" s="161" t="s">
        <v>529</v>
      </c>
      <c r="D17" s="159" t="s">
        <v>415</v>
      </c>
      <c r="E17" s="101">
        <v>0.80829440417735343</v>
      </c>
      <c r="F17" s="44">
        <v>0.6</v>
      </c>
    </row>
    <row r="18" spans="1:6">
      <c r="A18" s="45">
        <v>16</v>
      </c>
      <c r="B18" s="159" t="s">
        <v>705</v>
      </c>
      <c r="C18" s="161" t="s">
        <v>558</v>
      </c>
      <c r="D18" s="159" t="s">
        <v>413</v>
      </c>
      <c r="E18" s="101">
        <v>0.8127917756422367</v>
      </c>
      <c r="F18" s="44">
        <v>0.6</v>
      </c>
    </row>
    <row r="19" spans="1:6">
      <c r="A19" s="45">
        <v>17</v>
      </c>
      <c r="B19" s="159" t="s">
        <v>665</v>
      </c>
      <c r="C19" s="161" t="s">
        <v>518</v>
      </c>
      <c r="D19" s="159" t="s">
        <v>411</v>
      </c>
      <c r="E19" s="101">
        <v>0.81412816583884773</v>
      </c>
      <c r="F19" s="44">
        <v>0.6</v>
      </c>
    </row>
    <row r="20" spans="1:6">
      <c r="A20" s="45">
        <v>18</v>
      </c>
      <c r="B20" s="159" t="s">
        <v>721</v>
      </c>
      <c r="C20" s="161" t="s">
        <v>575</v>
      </c>
      <c r="D20" s="159" t="s">
        <v>418</v>
      </c>
      <c r="E20" s="101">
        <v>0.81686229738329108</v>
      </c>
      <c r="F20" s="44">
        <v>0.6</v>
      </c>
    </row>
    <row r="21" spans="1:6">
      <c r="A21" s="45">
        <v>19</v>
      </c>
      <c r="B21" s="159" t="s">
        <v>729</v>
      </c>
      <c r="C21" s="161" t="s">
        <v>583</v>
      </c>
      <c r="D21" s="159" t="s">
        <v>311</v>
      </c>
      <c r="E21" s="101">
        <v>0.81760538879232469</v>
      </c>
      <c r="F21" s="44">
        <v>0.6</v>
      </c>
    </row>
    <row r="22" spans="1:6">
      <c r="A22" s="45">
        <v>20</v>
      </c>
      <c r="B22" s="159" t="s">
        <v>711</v>
      </c>
      <c r="C22" s="161" t="s">
        <v>565</v>
      </c>
      <c r="D22" s="159" t="s">
        <v>320</v>
      </c>
      <c r="E22" s="101">
        <v>0.82143525487312774</v>
      </c>
      <c r="F22" s="44">
        <v>0.6</v>
      </c>
    </row>
    <row r="23" spans="1:6">
      <c r="A23" s="45">
        <v>21</v>
      </c>
      <c r="B23" s="159" t="s">
        <v>703</v>
      </c>
      <c r="C23" s="161" t="s">
        <v>556</v>
      </c>
      <c r="D23" s="159" t="s">
        <v>413</v>
      </c>
      <c r="E23" s="101">
        <v>0.82360616928331198</v>
      </c>
      <c r="F23" s="44">
        <v>0.6</v>
      </c>
    </row>
    <row r="24" spans="1:6">
      <c r="A24" s="45">
        <v>22</v>
      </c>
      <c r="B24" s="159" t="s">
        <v>666</v>
      </c>
      <c r="C24" s="161" t="s">
        <v>519</v>
      </c>
      <c r="D24" s="159" t="s">
        <v>415</v>
      </c>
      <c r="E24" s="101">
        <v>0.8260100255197258</v>
      </c>
      <c r="F24" s="44">
        <v>0.6</v>
      </c>
    </row>
    <row r="25" spans="1:6">
      <c r="A25" s="45">
        <v>23</v>
      </c>
      <c r="B25" s="159" t="s">
        <v>761</v>
      </c>
      <c r="C25" s="161" t="s">
        <v>615</v>
      </c>
      <c r="D25" s="159" t="s">
        <v>309</v>
      </c>
      <c r="E25" s="101">
        <v>0.82661892612045373</v>
      </c>
      <c r="F25" s="44">
        <v>0.6</v>
      </c>
    </row>
    <row r="26" spans="1:6">
      <c r="A26" s="45">
        <v>24</v>
      </c>
      <c r="B26" s="159" t="s">
        <v>668</v>
      </c>
      <c r="C26" s="161" t="s">
        <v>521</v>
      </c>
      <c r="D26" s="159" t="s">
        <v>415</v>
      </c>
      <c r="E26" s="101">
        <v>0.82831693376088034</v>
      </c>
      <c r="F26" s="44">
        <v>0.6</v>
      </c>
    </row>
    <row r="27" spans="1:6">
      <c r="A27" s="45">
        <v>25</v>
      </c>
      <c r="B27" s="159" t="s">
        <v>760</v>
      </c>
      <c r="C27" s="161" t="s">
        <v>614</v>
      </c>
      <c r="D27" s="159" t="s">
        <v>309</v>
      </c>
      <c r="E27" s="101">
        <v>0.82886236600057495</v>
      </c>
      <c r="F27" s="44">
        <v>0.6</v>
      </c>
    </row>
    <row r="28" spans="1:6">
      <c r="A28" s="45">
        <v>26</v>
      </c>
      <c r="B28" s="159" t="s">
        <v>670</v>
      </c>
      <c r="C28" s="161" t="s">
        <v>523</v>
      </c>
      <c r="D28" s="159" t="s">
        <v>415</v>
      </c>
      <c r="E28" s="101">
        <v>0.83143347738613216</v>
      </c>
      <c r="F28" s="44">
        <v>0.6</v>
      </c>
    </row>
    <row r="29" spans="1:6">
      <c r="A29" s="45">
        <v>27</v>
      </c>
      <c r="B29" s="159" t="s">
        <v>731</v>
      </c>
      <c r="C29" s="161" t="s">
        <v>585</v>
      </c>
      <c r="D29" s="159" t="s">
        <v>326</v>
      </c>
      <c r="E29" s="101">
        <v>0.8328423214076216</v>
      </c>
      <c r="F29" s="44">
        <v>0.6</v>
      </c>
    </row>
    <row r="30" spans="1:6">
      <c r="A30" s="45">
        <v>28</v>
      </c>
      <c r="B30" s="159" t="s">
        <v>706</v>
      </c>
      <c r="C30" s="161" t="s">
        <v>559</v>
      </c>
      <c r="D30" s="159" t="s">
        <v>413</v>
      </c>
      <c r="E30" s="101">
        <v>0.83320991710352743</v>
      </c>
      <c r="F30" s="44">
        <v>0.6</v>
      </c>
    </row>
    <row r="31" spans="1:6">
      <c r="A31" s="45">
        <v>29</v>
      </c>
      <c r="B31" s="159" t="s">
        <v>770</v>
      </c>
      <c r="C31" s="161" t="s">
        <v>624</v>
      </c>
      <c r="D31" s="159" t="s">
        <v>410</v>
      </c>
      <c r="E31" s="101">
        <v>0.83517956546705163</v>
      </c>
      <c r="F31" s="44">
        <v>0.6</v>
      </c>
    </row>
    <row r="32" spans="1:6">
      <c r="A32" s="45">
        <v>30</v>
      </c>
      <c r="B32" s="159" t="s">
        <v>662</v>
      </c>
      <c r="C32" s="161" t="s">
        <v>515</v>
      </c>
      <c r="D32" s="159" t="s">
        <v>411</v>
      </c>
      <c r="E32" s="101">
        <v>0.83679666015526377</v>
      </c>
      <c r="F32" s="44">
        <v>0.6</v>
      </c>
    </row>
    <row r="33" spans="1:6">
      <c r="A33" s="45">
        <v>31</v>
      </c>
      <c r="B33" s="159" t="s">
        <v>726</v>
      </c>
      <c r="C33" s="161" t="s">
        <v>580</v>
      </c>
      <c r="D33" s="159" t="s">
        <v>311</v>
      </c>
      <c r="E33" s="101">
        <v>0.84202495245272158</v>
      </c>
      <c r="F33" s="44">
        <v>0.6</v>
      </c>
    </row>
    <row r="34" spans="1:6">
      <c r="A34" s="45">
        <v>32</v>
      </c>
      <c r="B34" s="159" t="s">
        <v>718</v>
      </c>
      <c r="C34" s="161" t="s">
        <v>572</v>
      </c>
      <c r="D34" s="159" t="s">
        <v>418</v>
      </c>
      <c r="E34" s="101">
        <v>0.84350477603661034</v>
      </c>
      <c r="F34" s="44">
        <v>0.6</v>
      </c>
    </row>
    <row r="35" spans="1:6">
      <c r="A35" s="45">
        <v>33</v>
      </c>
      <c r="B35" s="159" t="s">
        <v>657</v>
      </c>
      <c r="C35" s="161" t="s">
        <v>510</v>
      </c>
      <c r="D35" s="159" t="s">
        <v>411</v>
      </c>
      <c r="E35" s="101">
        <v>0.84820765191065184</v>
      </c>
      <c r="F35" s="44">
        <v>0.6</v>
      </c>
    </row>
    <row r="36" spans="1:6">
      <c r="A36" s="45">
        <v>34</v>
      </c>
      <c r="B36" s="159" t="s">
        <v>724</v>
      </c>
      <c r="C36" s="161" t="s">
        <v>578</v>
      </c>
      <c r="D36" s="159" t="s">
        <v>311</v>
      </c>
      <c r="E36" s="101">
        <v>0.84824515393411437</v>
      </c>
      <c r="F36" s="44">
        <v>0.6</v>
      </c>
    </row>
    <row r="37" spans="1:6">
      <c r="A37" s="45">
        <v>35</v>
      </c>
      <c r="B37" s="159" t="s">
        <v>732</v>
      </c>
      <c r="C37" s="161" t="s">
        <v>586</v>
      </c>
      <c r="D37" s="159" t="s">
        <v>326</v>
      </c>
      <c r="E37" s="101">
        <v>0.84881643103228921</v>
      </c>
      <c r="F37" s="44">
        <v>0.6</v>
      </c>
    </row>
    <row r="38" spans="1:6">
      <c r="A38" s="45">
        <v>36</v>
      </c>
      <c r="B38" s="159" t="s">
        <v>652</v>
      </c>
      <c r="C38" s="161" t="s">
        <v>505</v>
      </c>
      <c r="D38" s="159" t="s">
        <v>306</v>
      </c>
      <c r="E38" s="101">
        <v>0.85629920494718414</v>
      </c>
      <c r="F38" s="44">
        <v>0.55000000000000004</v>
      </c>
    </row>
    <row r="39" spans="1:6">
      <c r="A39" s="45">
        <v>37</v>
      </c>
      <c r="B39" s="159" t="s">
        <v>664</v>
      </c>
      <c r="C39" s="161" t="s">
        <v>517</v>
      </c>
      <c r="D39" s="159" t="s">
        <v>411</v>
      </c>
      <c r="E39" s="101">
        <v>0.85665846875453233</v>
      </c>
      <c r="F39" s="44">
        <v>0.55000000000000004</v>
      </c>
    </row>
    <row r="40" spans="1:6">
      <c r="A40" s="45">
        <v>38</v>
      </c>
      <c r="B40" s="159" t="s">
        <v>773</v>
      </c>
      <c r="C40" s="161" t="s">
        <v>627</v>
      </c>
      <c r="D40" s="159" t="s">
        <v>410</v>
      </c>
      <c r="E40" s="101">
        <v>0.85883479533935614</v>
      </c>
      <c r="F40" s="44">
        <v>0.55000000000000004</v>
      </c>
    </row>
    <row r="41" spans="1:6">
      <c r="A41" s="45">
        <v>39</v>
      </c>
      <c r="B41" s="159" t="s">
        <v>780</v>
      </c>
      <c r="C41" s="161" t="s">
        <v>634</v>
      </c>
      <c r="D41" s="159" t="s">
        <v>410</v>
      </c>
      <c r="E41" s="101">
        <v>0.85917951651944846</v>
      </c>
      <c r="F41" s="44">
        <v>0.55000000000000004</v>
      </c>
    </row>
    <row r="42" spans="1:6">
      <c r="A42" s="45">
        <v>40</v>
      </c>
      <c r="B42" s="159" t="s">
        <v>771</v>
      </c>
      <c r="C42" s="161" t="s">
        <v>625</v>
      </c>
      <c r="D42" s="159" t="s">
        <v>410</v>
      </c>
      <c r="E42" s="101">
        <v>0.85973176251059524</v>
      </c>
      <c r="F42" s="44">
        <v>0.55000000000000004</v>
      </c>
    </row>
    <row r="43" spans="1:6">
      <c r="A43" s="45">
        <v>41</v>
      </c>
      <c r="B43" s="159" t="s">
        <v>723</v>
      </c>
      <c r="C43" s="161" t="s">
        <v>577</v>
      </c>
      <c r="D43" s="159" t="s">
        <v>311</v>
      </c>
      <c r="E43" s="101">
        <v>0.85975346498135119</v>
      </c>
      <c r="F43" s="44">
        <v>0.55000000000000004</v>
      </c>
    </row>
    <row r="44" spans="1:6">
      <c r="A44" s="45">
        <v>42</v>
      </c>
      <c r="B44" s="159" t="s">
        <v>712</v>
      </c>
      <c r="C44" s="161" t="s">
        <v>566</v>
      </c>
      <c r="D44" s="159" t="s">
        <v>320</v>
      </c>
      <c r="E44" s="101">
        <v>0.86440261554457742</v>
      </c>
      <c r="F44" s="44">
        <v>0.55000000000000004</v>
      </c>
    </row>
    <row r="45" spans="1:6">
      <c r="A45" s="45">
        <v>43</v>
      </c>
      <c r="B45" s="159" t="s">
        <v>681</v>
      </c>
      <c r="C45" s="161" t="s">
        <v>534</v>
      </c>
      <c r="D45" s="159" t="s">
        <v>415</v>
      </c>
      <c r="E45" s="101">
        <v>0.86485937437241112</v>
      </c>
      <c r="F45" s="44">
        <v>0.55000000000000004</v>
      </c>
    </row>
    <row r="46" spans="1:6">
      <c r="A46" s="45">
        <v>44</v>
      </c>
      <c r="B46" s="159" t="s">
        <v>754</v>
      </c>
      <c r="C46" s="161" t="s">
        <v>608</v>
      </c>
      <c r="D46" s="159" t="s">
        <v>299</v>
      </c>
      <c r="E46" s="101">
        <v>0.86797013829718928</v>
      </c>
      <c r="F46" s="44">
        <v>0.55000000000000004</v>
      </c>
    </row>
    <row r="47" spans="1:6">
      <c r="A47" s="45">
        <v>45</v>
      </c>
      <c r="B47" s="159" t="s">
        <v>765</v>
      </c>
      <c r="C47" s="161" t="s">
        <v>619</v>
      </c>
      <c r="D47" s="159" t="s">
        <v>309</v>
      </c>
      <c r="E47" s="101">
        <v>0.8679855687009288</v>
      </c>
      <c r="F47" s="44">
        <v>0.55000000000000004</v>
      </c>
    </row>
    <row r="48" spans="1:6">
      <c r="A48" s="45">
        <v>46</v>
      </c>
      <c r="B48" s="159" t="s">
        <v>758</v>
      </c>
      <c r="C48" s="161" t="s">
        <v>612</v>
      </c>
      <c r="D48" s="159" t="s">
        <v>309</v>
      </c>
      <c r="E48" s="101">
        <v>0.86987622602582504</v>
      </c>
      <c r="F48" s="44">
        <v>0.55000000000000004</v>
      </c>
    </row>
    <row r="49" spans="1:6">
      <c r="A49" s="45">
        <v>47</v>
      </c>
      <c r="B49" s="159" t="s">
        <v>733</v>
      </c>
      <c r="C49" s="161" t="s">
        <v>587</v>
      </c>
      <c r="D49" s="159" t="s">
        <v>326</v>
      </c>
      <c r="E49" s="101">
        <v>0.87205367140821466</v>
      </c>
      <c r="F49" s="44">
        <v>0.55000000000000004</v>
      </c>
    </row>
    <row r="50" spans="1:6">
      <c r="A50" s="45">
        <v>48</v>
      </c>
      <c r="B50" s="159" t="s">
        <v>751</v>
      </c>
      <c r="C50" s="161" t="s">
        <v>605</v>
      </c>
      <c r="D50" s="159" t="s">
        <v>299</v>
      </c>
      <c r="E50" s="101">
        <v>0.87295445902730695</v>
      </c>
      <c r="F50" s="44">
        <v>0.55000000000000004</v>
      </c>
    </row>
    <row r="51" spans="1:6">
      <c r="A51" s="45">
        <v>49</v>
      </c>
      <c r="B51" s="159" t="s">
        <v>647</v>
      </c>
      <c r="C51" s="161" t="s">
        <v>499</v>
      </c>
      <c r="D51" s="159" t="s">
        <v>306</v>
      </c>
      <c r="E51" s="101">
        <v>0.8769739613126849</v>
      </c>
      <c r="F51" s="44">
        <v>0.55000000000000004</v>
      </c>
    </row>
    <row r="52" spans="1:6">
      <c r="A52" s="45">
        <v>50</v>
      </c>
      <c r="B52" s="159" t="s">
        <v>776</v>
      </c>
      <c r="C52" s="161" t="s">
        <v>630</v>
      </c>
      <c r="D52" s="159" t="s">
        <v>410</v>
      </c>
      <c r="E52" s="101">
        <v>0.87776472166012076</v>
      </c>
      <c r="F52" s="44">
        <v>0.55000000000000004</v>
      </c>
    </row>
    <row r="53" spans="1:6">
      <c r="A53" s="45">
        <v>51</v>
      </c>
      <c r="B53" s="159" t="s">
        <v>675</v>
      </c>
      <c r="C53" s="161" t="s">
        <v>528</v>
      </c>
      <c r="D53" s="159" t="s">
        <v>415</v>
      </c>
      <c r="E53" s="101">
        <v>0.88252619046577718</v>
      </c>
      <c r="F53" s="44">
        <v>0.55000000000000004</v>
      </c>
    </row>
    <row r="54" spans="1:6">
      <c r="A54" s="45">
        <v>52</v>
      </c>
      <c r="B54" s="159" t="s">
        <v>713</v>
      </c>
      <c r="C54" s="161" t="s">
        <v>567</v>
      </c>
      <c r="D54" s="159" t="s">
        <v>320</v>
      </c>
      <c r="E54" s="101">
        <v>0.88440834720426453</v>
      </c>
      <c r="F54" s="44">
        <v>0.55000000000000004</v>
      </c>
    </row>
    <row r="55" spans="1:6">
      <c r="A55" s="45">
        <v>53</v>
      </c>
      <c r="B55" s="159" t="s">
        <v>651</v>
      </c>
      <c r="C55" s="161" t="s">
        <v>504</v>
      </c>
      <c r="D55" s="159" t="s">
        <v>306</v>
      </c>
      <c r="E55" s="101">
        <v>0.88717188101048983</v>
      </c>
      <c r="F55" s="44">
        <v>0.55000000000000004</v>
      </c>
    </row>
    <row r="56" spans="1:6">
      <c r="A56" s="45">
        <v>54</v>
      </c>
      <c r="B56" s="159" t="s">
        <v>693</v>
      </c>
      <c r="C56" s="161" t="s">
        <v>546</v>
      </c>
      <c r="D56" s="159" t="s">
        <v>295</v>
      </c>
      <c r="E56" s="101">
        <v>0.88727130022679757</v>
      </c>
      <c r="F56" s="44">
        <v>0.55000000000000004</v>
      </c>
    </row>
    <row r="57" spans="1:6">
      <c r="A57" s="45">
        <v>55</v>
      </c>
      <c r="B57" s="159" t="s">
        <v>661</v>
      </c>
      <c r="C57" s="161" t="s">
        <v>514</v>
      </c>
      <c r="D57" s="159" t="s">
        <v>411</v>
      </c>
      <c r="E57" s="101">
        <v>0.88781804093258376</v>
      </c>
      <c r="F57" s="44">
        <v>0.55000000000000004</v>
      </c>
    </row>
    <row r="58" spans="1:6">
      <c r="A58" s="45">
        <v>56</v>
      </c>
      <c r="B58" s="159" t="s">
        <v>688</v>
      </c>
      <c r="C58" s="161" t="s">
        <v>541</v>
      </c>
      <c r="D58" s="159" t="s">
        <v>416</v>
      </c>
      <c r="E58" s="101">
        <v>0.89404795775216772</v>
      </c>
      <c r="F58" s="44">
        <v>0.55000000000000004</v>
      </c>
    </row>
    <row r="59" spans="1:6">
      <c r="A59" s="45">
        <v>57</v>
      </c>
      <c r="B59" s="159" t="s">
        <v>680</v>
      </c>
      <c r="C59" s="161" t="s">
        <v>533</v>
      </c>
      <c r="D59" s="159" t="s">
        <v>415</v>
      </c>
      <c r="E59" s="101">
        <v>0.89659092269634089</v>
      </c>
      <c r="F59" s="44">
        <v>0.55000000000000004</v>
      </c>
    </row>
    <row r="60" spans="1:6">
      <c r="A60" s="45">
        <v>58</v>
      </c>
      <c r="B60" s="159" t="s">
        <v>696</v>
      </c>
      <c r="C60" s="161" t="s">
        <v>549</v>
      </c>
      <c r="D60" s="159" t="s">
        <v>295</v>
      </c>
      <c r="E60" s="101">
        <v>0.89687426739395948</v>
      </c>
      <c r="F60" s="44">
        <v>0.55000000000000004</v>
      </c>
    </row>
    <row r="61" spans="1:6">
      <c r="A61" s="45">
        <v>59</v>
      </c>
      <c r="B61" s="159" t="s">
        <v>674</v>
      </c>
      <c r="C61" s="161" t="s">
        <v>527</v>
      </c>
      <c r="D61" s="159" t="s">
        <v>415</v>
      </c>
      <c r="E61" s="101">
        <v>0.90085285685635164</v>
      </c>
      <c r="F61" s="44">
        <v>0.5</v>
      </c>
    </row>
    <row r="62" spans="1:6">
      <c r="A62" s="45">
        <v>60</v>
      </c>
      <c r="B62" s="159" t="s">
        <v>690</v>
      </c>
      <c r="C62" s="161" t="s">
        <v>543</v>
      </c>
      <c r="D62" s="159" t="s">
        <v>295</v>
      </c>
      <c r="E62" s="101">
        <v>0.90277810249520241</v>
      </c>
      <c r="F62" s="44">
        <v>0.5</v>
      </c>
    </row>
    <row r="63" spans="1:6">
      <c r="A63" s="45">
        <v>61</v>
      </c>
      <c r="B63" s="159" t="s">
        <v>698</v>
      </c>
      <c r="C63" s="161" t="s">
        <v>551</v>
      </c>
      <c r="D63" s="159" t="s">
        <v>295</v>
      </c>
      <c r="E63" s="101">
        <v>0.90475948732944145</v>
      </c>
      <c r="F63" s="44">
        <v>0.5</v>
      </c>
    </row>
    <row r="64" spans="1:6">
      <c r="A64" s="45">
        <v>62</v>
      </c>
      <c r="B64" s="159" t="s">
        <v>778</v>
      </c>
      <c r="C64" s="161" t="s">
        <v>632</v>
      </c>
      <c r="D64" s="159" t="s">
        <v>410</v>
      </c>
      <c r="E64" s="101">
        <v>0.90549222767441484</v>
      </c>
      <c r="F64" s="44">
        <v>0.5</v>
      </c>
    </row>
    <row r="65" spans="1:6">
      <c r="A65" s="45">
        <v>63</v>
      </c>
      <c r="B65" s="159" t="s">
        <v>660</v>
      </c>
      <c r="C65" s="161" t="s">
        <v>513</v>
      </c>
      <c r="D65" s="159" t="s">
        <v>411</v>
      </c>
      <c r="E65" s="101">
        <v>0.90552362944529141</v>
      </c>
      <c r="F65" s="44">
        <v>0.5</v>
      </c>
    </row>
    <row r="66" spans="1:6">
      <c r="A66" s="45">
        <v>64</v>
      </c>
      <c r="B66" s="159" t="s">
        <v>663</v>
      </c>
      <c r="C66" s="161" t="s">
        <v>516</v>
      </c>
      <c r="D66" s="159" t="s">
        <v>411</v>
      </c>
      <c r="E66" s="101">
        <v>0.91010892431464574</v>
      </c>
      <c r="F66" s="44">
        <v>0.5</v>
      </c>
    </row>
    <row r="67" spans="1:6">
      <c r="A67" s="45">
        <v>65</v>
      </c>
      <c r="B67" s="159" t="s">
        <v>689</v>
      </c>
      <c r="C67" s="161" t="s">
        <v>542</v>
      </c>
      <c r="D67" s="159" t="s">
        <v>416</v>
      </c>
      <c r="E67" s="101">
        <v>0.91294683949042554</v>
      </c>
      <c r="F67" s="44">
        <v>0.5</v>
      </c>
    </row>
    <row r="68" spans="1:6">
      <c r="A68" s="45">
        <v>66</v>
      </c>
      <c r="B68" s="159" t="s">
        <v>714</v>
      </c>
      <c r="C68" s="161" t="s">
        <v>568</v>
      </c>
      <c r="D68" s="159" t="s">
        <v>320</v>
      </c>
      <c r="E68" s="101">
        <v>0.9144042379918027</v>
      </c>
      <c r="F68" s="44">
        <v>0.5</v>
      </c>
    </row>
    <row r="69" spans="1:6">
      <c r="A69" s="45">
        <v>67</v>
      </c>
      <c r="B69" s="159" t="s">
        <v>742</v>
      </c>
      <c r="C69" s="161" t="s">
        <v>596</v>
      </c>
      <c r="D69" s="159" t="s">
        <v>330</v>
      </c>
      <c r="E69" s="101">
        <v>0.91569106592372651</v>
      </c>
      <c r="F69" s="44">
        <v>0.5</v>
      </c>
    </row>
    <row r="70" spans="1:6">
      <c r="A70" s="45">
        <v>68</v>
      </c>
      <c r="B70" s="159" t="s">
        <v>641</v>
      </c>
      <c r="C70" s="161" t="s">
        <v>493</v>
      </c>
      <c r="D70" s="42" t="s">
        <v>333</v>
      </c>
      <c r="E70" s="101">
        <v>0.92053395147273376</v>
      </c>
      <c r="F70" s="44">
        <v>0.5</v>
      </c>
    </row>
    <row r="71" spans="1:6">
      <c r="A71" s="45">
        <v>69</v>
      </c>
      <c r="B71" s="159" t="s">
        <v>685</v>
      </c>
      <c r="C71" s="161" t="s">
        <v>538</v>
      </c>
      <c r="D71" s="159" t="s">
        <v>416</v>
      </c>
      <c r="E71" s="101">
        <v>0.92158099723490927</v>
      </c>
      <c r="F71" s="44">
        <v>0.5</v>
      </c>
    </row>
    <row r="72" spans="1:6">
      <c r="A72" s="45">
        <v>70</v>
      </c>
      <c r="B72" s="159" t="s">
        <v>730</v>
      </c>
      <c r="C72" s="161" t="s">
        <v>584</v>
      </c>
      <c r="D72" s="159" t="s">
        <v>326</v>
      </c>
      <c r="E72" s="101">
        <v>0.92344764581918759</v>
      </c>
      <c r="F72" s="44">
        <v>0.5</v>
      </c>
    </row>
    <row r="73" spans="1:6">
      <c r="A73" s="45">
        <v>71</v>
      </c>
      <c r="B73" s="159" t="s">
        <v>697</v>
      </c>
      <c r="C73" s="161" t="s">
        <v>550</v>
      </c>
      <c r="D73" s="159" t="s">
        <v>295</v>
      </c>
      <c r="E73" s="101">
        <v>0.92455086783309404</v>
      </c>
      <c r="F73" s="44">
        <v>0.5</v>
      </c>
    </row>
    <row r="74" spans="1:6">
      <c r="A74" s="45">
        <v>72</v>
      </c>
      <c r="B74" s="159" t="s">
        <v>779</v>
      </c>
      <c r="C74" s="161" t="s">
        <v>633</v>
      </c>
      <c r="D74" s="159" t="s">
        <v>410</v>
      </c>
      <c r="E74" s="101">
        <v>0.92506754316465689</v>
      </c>
      <c r="F74" s="44">
        <v>0.5</v>
      </c>
    </row>
    <row r="75" spans="1:6">
      <c r="A75" s="45">
        <v>73</v>
      </c>
      <c r="B75" s="159" t="s">
        <v>671</v>
      </c>
      <c r="C75" s="161" t="s">
        <v>524</v>
      </c>
      <c r="D75" s="159" t="s">
        <v>415</v>
      </c>
      <c r="E75" s="101">
        <v>0.92625256761730979</v>
      </c>
      <c r="F75" s="44">
        <v>0.5</v>
      </c>
    </row>
    <row r="76" spans="1:6">
      <c r="A76" s="45">
        <v>74</v>
      </c>
      <c r="B76" s="159" t="s">
        <v>708</v>
      </c>
      <c r="C76" s="161" t="s">
        <v>562</v>
      </c>
      <c r="D76" s="159" t="s">
        <v>292</v>
      </c>
      <c r="E76" s="101">
        <v>0.93028126556099511</v>
      </c>
      <c r="F76" s="44">
        <v>0.5</v>
      </c>
    </row>
    <row r="77" spans="1:6">
      <c r="A77" s="45">
        <v>75</v>
      </c>
      <c r="B77" s="159" t="s">
        <v>646</v>
      </c>
      <c r="C77" s="161" t="s">
        <v>498</v>
      </c>
      <c r="D77" s="159" t="s">
        <v>306</v>
      </c>
      <c r="E77" s="101">
        <v>0.93257493894741117</v>
      </c>
      <c r="F77" s="44">
        <v>0.5</v>
      </c>
    </row>
    <row r="78" spans="1:6">
      <c r="A78" s="45">
        <v>76</v>
      </c>
      <c r="B78" s="159" t="s">
        <v>715</v>
      </c>
      <c r="C78" s="161" t="s">
        <v>569</v>
      </c>
      <c r="D78" s="159" t="s">
        <v>320</v>
      </c>
      <c r="E78" s="101">
        <v>0.93435906476037422</v>
      </c>
      <c r="F78" s="44">
        <v>0.5</v>
      </c>
    </row>
    <row r="79" spans="1:6">
      <c r="A79" s="45">
        <v>77</v>
      </c>
      <c r="B79" s="159" t="s">
        <v>725</v>
      </c>
      <c r="C79" s="161" t="s">
        <v>579</v>
      </c>
      <c r="D79" s="159" t="s">
        <v>311</v>
      </c>
      <c r="E79" s="101">
        <v>0.93626351438319433</v>
      </c>
      <c r="F79" s="44">
        <v>0.5</v>
      </c>
    </row>
    <row r="80" spans="1:6">
      <c r="A80" s="45">
        <v>78</v>
      </c>
      <c r="B80" s="159" t="s">
        <v>781</v>
      </c>
      <c r="C80" s="161" t="s">
        <v>635</v>
      </c>
      <c r="D80" s="159" t="s">
        <v>410</v>
      </c>
      <c r="E80" s="101">
        <v>0.93675744222540158</v>
      </c>
      <c r="F80" s="44">
        <v>0.5</v>
      </c>
    </row>
    <row r="81" spans="1:6">
      <c r="A81" s="45">
        <v>79</v>
      </c>
      <c r="B81" s="43" t="s">
        <v>639</v>
      </c>
      <c r="C81" s="161" t="s">
        <v>491</v>
      </c>
      <c r="D81" s="42" t="s">
        <v>333</v>
      </c>
      <c r="E81" s="101">
        <v>0.94820394180133649</v>
      </c>
      <c r="F81" s="44">
        <v>0.5</v>
      </c>
    </row>
    <row r="82" spans="1:6">
      <c r="A82" s="45">
        <v>80</v>
      </c>
      <c r="B82" s="159" t="s">
        <v>757</v>
      </c>
      <c r="C82" s="161" t="s">
        <v>611</v>
      </c>
      <c r="D82" s="159" t="s">
        <v>299</v>
      </c>
      <c r="E82" s="101">
        <v>0.96987354087969246</v>
      </c>
      <c r="F82" s="44">
        <v>0.5</v>
      </c>
    </row>
    <row r="83" spans="1:6">
      <c r="A83" s="45">
        <v>81</v>
      </c>
      <c r="B83" s="159" t="s">
        <v>763</v>
      </c>
      <c r="C83" s="161" t="s">
        <v>617</v>
      </c>
      <c r="D83" s="159" t="s">
        <v>309</v>
      </c>
      <c r="E83" s="101">
        <v>0.97217173313605576</v>
      </c>
      <c r="F83" s="44">
        <v>0.5</v>
      </c>
    </row>
    <row r="84" spans="1:6">
      <c r="A84" s="45">
        <v>82</v>
      </c>
      <c r="B84" s="159" t="s">
        <v>659</v>
      </c>
      <c r="C84" s="161" t="s">
        <v>512</v>
      </c>
      <c r="D84" s="159" t="s">
        <v>411</v>
      </c>
      <c r="E84" s="101">
        <v>0.97271546760234395</v>
      </c>
      <c r="F84" s="44">
        <v>0.5</v>
      </c>
    </row>
    <row r="85" spans="1:6">
      <c r="A85" s="45">
        <v>83</v>
      </c>
      <c r="B85" s="159" t="s">
        <v>728</v>
      </c>
      <c r="C85" s="161" t="s">
        <v>582</v>
      </c>
      <c r="D85" s="159" t="s">
        <v>311</v>
      </c>
      <c r="E85" s="101">
        <v>0.97658532177737456</v>
      </c>
      <c r="F85" s="44">
        <v>0.5</v>
      </c>
    </row>
    <row r="86" spans="1:6">
      <c r="A86" s="45">
        <v>84</v>
      </c>
      <c r="B86" s="159" t="s">
        <v>678</v>
      </c>
      <c r="C86" s="161" t="s">
        <v>531</v>
      </c>
      <c r="D86" s="159" t="s">
        <v>415</v>
      </c>
      <c r="E86" s="101">
        <v>0.97753149937251727</v>
      </c>
      <c r="F86" s="44">
        <v>0.5</v>
      </c>
    </row>
    <row r="87" spans="1:6">
      <c r="A87" s="45">
        <v>85</v>
      </c>
      <c r="B87" s="159" t="s">
        <v>692</v>
      </c>
      <c r="C87" s="161" t="s">
        <v>545</v>
      </c>
      <c r="D87" s="159" t="s">
        <v>295</v>
      </c>
      <c r="E87" s="101">
        <v>0.97885202063845012</v>
      </c>
      <c r="F87" s="44">
        <v>0.5</v>
      </c>
    </row>
    <row r="88" spans="1:6">
      <c r="A88" s="45">
        <v>86</v>
      </c>
      <c r="B88" s="159" t="s">
        <v>747</v>
      </c>
      <c r="C88" s="161" t="s">
        <v>601</v>
      </c>
      <c r="D88" s="159" t="s">
        <v>414</v>
      </c>
      <c r="E88" s="101">
        <v>0.98220658507899405</v>
      </c>
      <c r="F88" s="44">
        <v>0.5</v>
      </c>
    </row>
    <row r="89" spans="1:6">
      <c r="A89" s="45">
        <v>87</v>
      </c>
      <c r="B89" s="159" t="s">
        <v>667</v>
      </c>
      <c r="C89" s="161" t="s">
        <v>520</v>
      </c>
      <c r="D89" s="159" t="s">
        <v>415</v>
      </c>
      <c r="E89" s="101">
        <v>0.98432719889990639</v>
      </c>
      <c r="F89" s="44">
        <v>0.5</v>
      </c>
    </row>
    <row r="90" spans="1:6">
      <c r="A90" s="45">
        <v>88</v>
      </c>
      <c r="B90" s="159" t="s">
        <v>766</v>
      </c>
      <c r="C90" s="161" t="s">
        <v>620</v>
      </c>
      <c r="D90" s="159" t="s">
        <v>309</v>
      </c>
      <c r="E90" s="101">
        <v>0.98531634999301421</v>
      </c>
      <c r="F90" s="44">
        <v>0.5</v>
      </c>
    </row>
    <row r="91" spans="1:6">
      <c r="A91" s="45">
        <v>89</v>
      </c>
      <c r="B91" s="159" t="s">
        <v>720</v>
      </c>
      <c r="C91" s="161" t="s">
        <v>574</v>
      </c>
      <c r="D91" s="159" t="s">
        <v>418</v>
      </c>
      <c r="E91" s="101">
        <v>0.9906479317239929</v>
      </c>
      <c r="F91" s="44">
        <v>0.5</v>
      </c>
    </row>
    <row r="92" spans="1:6">
      <c r="A92" s="45">
        <v>90</v>
      </c>
      <c r="B92" s="159" t="s">
        <v>650</v>
      </c>
      <c r="C92" s="161" t="s">
        <v>503</v>
      </c>
      <c r="D92" s="159" t="s">
        <v>306</v>
      </c>
      <c r="E92" s="101">
        <v>0.99374302836488304</v>
      </c>
      <c r="F92" s="44">
        <v>0.5</v>
      </c>
    </row>
    <row r="93" spans="1:6">
      <c r="A93" s="45">
        <v>91</v>
      </c>
      <c r="B93" s="159" t="s">
        <v>759</v>
      </c>
      <c r="C93" s="161" t="s">
        <v>613</v>
      </c>
      <c r="D93" s="159" t="s">
        <v>309</v>
      </c>
      <c r="E93" s="101">
        <v>0.9986903044558475</v>
      </c>
      <c r="F93" s="44">
        <v>0.5</v>
      </c>
    </row>
    <row r="94" spans="1:6">
      <c r="A94" s="45">
        <v>92</v>
      </c>
      <c r="B94" s="159" t="s">
        <v>722</v>
      </c>
      <c r="C94" s="161" t="s">
        <v>576</v>
      </c>
      <c r="D94" s="159" t="s">
        <v>311</v>
      </c>
      <c r="E94" s="101">
        <v>1.0026909804529642</v>
      </c>
      <c r="F94" s="44">
        <v>0.5</v>
      </c>
    </row>
    <row r="95" spans="1:6">
      <c r="A95" s="45">
        <v>93</v>
      </c>
      <c r="B95" s="159" t="s">
        <v>677</v>
      </c>
      <c r="C95" s="161" t="s">
        <v>530</v>
      </c>
      <c r="D95" s="159" t="s">
        <v>415</v>
      </c>
      <c r="E95" s="101">
        <v>1.0032666789381626</v>
      </c>
      <c r="F95" s="44">
        <v>0.5</v>
      </c>
    </row>
    <row r="96" spans="1:6">
      <c r="A96" s="45">
        <v>94</v>
      </c>
      <c r="B96" s="159" t="s">
        <v>762</v>
      </c>
      <c r="C96" s="161" t="s">
        <v>616</v>
      </c>
      <c r="D96" s="159" t="s">
        <v>309</v>
      </c>
      <c r="E96" s="101">
        <v>1.0076562049363063</v>
      </c>
      <c r="F96" s="44">
        <v>0.5</v>
      </c>
    </row>
    <row r="97" spans="1:6">
      <c r="A97" s="45">
        <v>95</v>
      </c>
      <c r="B97" s="159" t="s">
        <v>640</v>
      </c>
      <c r="C97" s="161" t="s">
        <v>492</v>
      </c>
      <c r="D97" s="42" t="s">
        <v>333</v>
      </c>
      <c r="E97" s="101">
        <v>1.011888445451651</v>
      </c>
      <c r="F97" s="44">
        <v>0.5</v>
      </c>
    </row>
    <row r="98" spans="1:6">
      <c r="A98" s="45">
        <v>96</v>
      </c>
      <c r="B98" s="159" t="s">
        <v>673</v>
      </c>
      <c r="C98" s="161" t="s">
        <v>526</v>
      </c>
      <c r="D98" s="159" t="s">
        <v>415</v>
      </c>
      <c r="E98" s="101">
        <v>1.013202186018753</v>
      </c>
      <c r="F98" s="44">
        <v>0.5</v>
      </c>
    </row>
    <row r="99" spans="1:6">
      <c r="A99" s="45">
        <v>97</v>
      </c>
      <c r="B99" s="159" t="s">
        <v>653</v>
      </c>
      <c r="C99" s="161" t="s">
        <v>506</v>
      </c>
      <c r="D99" s="159" t="s">
        <v>306</v>
      </c>
      <c r="E99" s="101">
        <v>1.0238118082192222</v>
      </c>
      <c r="F99" s="44">
        <v>0.5</v>
      </c>
    </row>
    <row r="100" spans="1:6">
      <c r="A100" s="45">
        <v>98</v>
      </c>
      <c r="B100" s="159" t="s">
        <v>752</v>
      </c>
      <c r="C100" s="161" t="s">
        <v>606</v>
      </c>
      <c r="D100" s="159" t="s">
        <v>299</v>
      </c>
      <c r="E100" s="101">
        <v>1.033353749531368</v>
      </c>
      <c r="F100" s="44">
        <v>0.5</v>
      </c>
    </row>
    <row r="101" spans="1:6">
      <c r="A101" s="45">
        <v>99</v>
      </c>
      <c r="B101" s="159" t="s">
        <v>702</v>
      </c>
      <c r="C101" s="161" t="s">
        <v>555</v>
      </c>
      <c r="D101" s="159" t="s">
        <v>413</v>
      </c>
      <c r="E101" s="101">
        <v>1.0335949598740861</v>
      </c>
      <c r="F101" s="44">
        <v>0.5</v>
      </c>
    </row>
    <row r="102" spans="1:6">
      <c r="A102" s="45">
        <v>100</v>
      </c>
      <c r="B102" s="159" t="s">
        <v>737</v>
      </c>
      <c r="C102" s="161" t="s">
        <v>591</v>
      </c>
      <c r="D102" s="159" t="s">
        <v>330</v>
      </c>
      <c r="E102" s="101">
        <v>1.0337262083899172</v>
      </c>
      <c r="F102" s="44">
        <v>0.5</v>
      </c>
    </row>
    <row r="103" spans="1:6">
      <c r="A103" s="45">
        <v>101</v>
      </c>
      <c r="B103" s="159" t="s">
        <v>734</v>
      </c>
      <c r="C103" s="161" t="s">
        <v>588</v>
      </c>
      <c r="D103" s="159" t="s">
        <v>326</v>
      </c>
      <c r="E103" s="101">
        <v>1.0407346782716436</v>
      </c>
      <c r="F103" s="44">
        <v>0.5</v>
      </c>
    </row>
    <row r="104" spans="1:6">
      <c r="A104" s="45">
        <v>102</v>
      </c>
      <c r="B104" s="159" t="s">
        <v>686</v>
      </c>
      <c r="C104" s="161" t="s">
        <v>539</v>
      </c>
      <c r="D104" s="159" t="s">
        <v>416</v>
      </c>
      <c r="E104" s="101">
        <v>1.0452111269177111</v>
      </c>
      <c r="F104" s="44">
        <v>0.5</v>
      </c>
    </row>
    <row r="105" spans="1:6">
      <c r="A105" s="45">
        <v>103</v>
      </c>
      <c r="B105" s="159" t="s">
        <v>769</v>
      </c>
      <c r="C105" s="161" t="s">
        <v>623</v>
      </c>
      <c r="D105" s="159" t="s">
        <v>410</v>
      </c>
      <c r="E105" s="101">
        <v>1.0498616409669055</v>
      </c>
      <c r="F105" s="44">
        <v>0.5</v>
      </c>
    </row>
    <row r="106" spans="1:6">
      <c r="A106" s="45">
        <v>104</v>
      </c>
      <c r="B106" s="159" t="s">
        <v>699</v>
      </c>
      <c r="C106" s="161" t="s">
        <v>552</v>
      </c>
      <c r="D106" s="159" t="s">
        <v>413</v>
      </c>
      <c r="E106" s="101">
        <v>1.0551108240352567</v>
      </c>
      <c r="F106" s="44">
        <v>0.5</v>
      </c>
    </row>
    <row r="107" spans="1:6">
      <c r="A107" s="45">
        <v>105</v>
      </c>
      <c r="B107" s="159" t="s">
        <v>741</v>
      </c>
      <c r="C107" s="161" t="s">
        <v>595</v>
      </c>
      <c r="D107" s="159" t="s">
        <v>330</v>
      </c>
      <c r="E107" s="101">
        <v>1.0745675869510365</v>
      </c>
      <c r="F107" s="44">
        <v>0.5</v>
      </c>
    </row>
    <row r="108" spans="1:6">
      <c r="A108" s="45">
        <v>106</v>
      </c>
      <c r="B108" s="159" t="s">
        <v>735</v>
      </c>
      <c r="C108" s="161" t="s">
        <v>589</v>
      </c>
      <c r="D108" s="159" t="s">
        <v>330</v>
      </c>
      <c r="E108" s="101">
        <v>1.0813168901697481</v>
      </c>
      <c r="F108" s="44">
        <v>0.5</v>
      </c>
    </row>
    <row r="109" spans="1:6">
      <c r="A109" s="45">
        <v>107</v>
      </c>
      <c r="B109" s="159" t="s">
        <v>774</v>
      </c>
      <c r="C109" s="161" t="s">
        <v>628</v>
      </c>
      <c r="D109" s="159" t="s">
        <v>410</v>
      </c>
      <c r="E109" s="101">
        <v>1.0818052142870196</v>
      </c>
      <c r="F109" s="44">
        <v>0.5</v>
      </c>
    </row>
    <row r="110" spans="1:6">
      <c r="A110" s="45">
        <v>108</v>
      </c>
      <c r="B110" s="159" t="s">
        <v>764</v>
      </c>
      <c r="C110" s="161" t="s">
        <v>618</v>
      </c>
      <c r="D110" s="159" t="s">
        <v>309</v>
      </c>
      <c r="E110" s="101">
        <v>1.0820134781801656</v>
      </c>
      <c r="F110" s="44">
        <v>0.5</v>
      </c>
    </row>
    <row r="111" spans="1:6">
      <c r="A111" s="45">
        <v>109</v>
      </c>
      <c r="B111" s="159" t="s">
        <v>783</v>
      </c>
      <c r="C111" s="161" t="s">
        <v>500</v>
      </c>
      <c r="D111" s="159" t="s">
        <v>306</v>
      </c>
      <c r="E111" s="101">
        <v>1.0828642292393034</v>
      </c>
      <c r="F111" s="44">
        <v>0.5</v>
      </c>
    </row>
    <row r="112" spans="1:6">
      <c r="A112" s="45">
        <v>110</v>
      </c>
      <c r="B112" s="159" t="s">
        <v>700</v>
      </c>
      <c r="C112" s="161" t="s">
        <v>553</v>
      </c>
      <c r="D112" s="159" t="s">
        <v>413</v>
      </c>
      <c r="E112" s="101">
        <v>1.0895141302531977</v>
      </c>
      <c r="F112" s="44">
        <v>0.5</v>
      </c>
    </row>
    <row r="113" spans="1:6">
      <c r="A113" s="45">
        <v>111</v>
      </c>
      <c r="B113" s="159" t="s">
        <v>695</v>
      </c>
      <c r="C113" s="161" t="s">
        <v>548</v>
      </c>
      <c r="D113" s="159" t="s">
        <v>295</v>
      </c>
      <c r="E113" s="101">
        <v>1.0937893848642228</v>
      </c>
      <c r="F113" s="44">
        <v>0.5</v>
      </c>
    </row>
    <row r="114" spans="1:6">
      <c r="A114" s="45">
        <v>112</v>
      </c>
      <c r="B114" s="159" t="s">
        <v>746</v>
      </c>
      <c r="C114" s="161" t="s">
        <v>600</v>
      </c>
      <c r="D114" s="159" t="s">
        <v>414</v>
      </c>
      <c r="E114" s="101">
        <v>1.0976084590859194</v>
      </c>
      <c r="F114" s="44">
        <v>0.5</v>
      </c>
    </row>
    <row r="115" spans="1:6">
      <c r="A115" s="45">
        <v>113</v>
      </c>
      <c r="B115" s="159" t="s">
        <v>701</v>
      </c>
      <c r="C115" s="161" t="s">
        <v>554</v>
      </c>
      <c r="D115" s="159" t="s">
        <v>413</v>
      </c>
      <c r="E115" s="101">
        <v>1.0977326096325597</v>
      </c>
      <c r="F115" s="44">
        <v>0.5</v>
      </c>
    </row>
    <row r="116" spans="1:6">
      <c r="A116" s="45">
        <v>114</v>
      </c>
      <c r="B116" s="159" t="s">
        <v>648</v>
      </c>
      <c r="C116" s="161" t="s">
        <v>501</v>
      </c>
      <c r="D116" s="159" t="s">
        <v>306</v>
      </c>
      <c r="E116" s="101">
        <v>1.1089317101875573</v>
      </c>
      <c r="F116" s="44">
        <v>0.5</v>
      </c>
    </row>
    <row r="117" spans="1:6">
      <c r="A117" s="45">
        <v>115</v>
      </c>
      <c r="B117" s="159" t="s">
        <v>710</v>
      </c>
      <c r="C117" s="161" t="s">
        <v>564</v>
      </c>
      <c r="D117" s="159" t="s">
        <v>292</v>
      </c>
      <c r="E117" s="101">
        <v>1.1136975589603721</v>
      </c>
      <c r="F117" s="44">
        <v>0.5</v>
      </c>
    </row>
    <row r="118" spans="1:6">
      <c r="A118" s="45">
        <v>116</v>
      </c>
      <c r="B118" s="159" t="s">
        <v>679</v>
      </c>
      <c r="C118" s="161" t="s">
        <v>532</v>
      </c>
      <c r="D118" s="159" t="s">
        <v>415</v>
      </c>
      <c r="E118" s="101">
        <v>1.1191500983326872</v>
      </c>
      <c r="F118" s="44">
        <v>0.5</v>
      </c>
    </row>
    <row r="119" spans="1:6">
      <c r="A119" s="45">
        <v>117</v>
      </c>
      <c r="B119" s="159" t="s">
        <v>717</v>
      </c>
      <c r="C119" s="161" t="s">
        <v>571</v>
      </c>
      <c r="D119" s="159" t="s">
        <v>418</v>
      </c>
      <c r="E119" s="101">
        <v>1.1259082014319202</v>
      </c>
      <c r="F119" s="44">
        <v>0.5</v>
      </c>
    </row>
    <row r="120" spans="1:6">
      <c r="A120" s="45">
        <v>118</v>
      </c>
      <c r="B120" s="159" t="s">
        <v>642</v>
      </c>
      <c r="C120" s="161" t="s">
        <v>494</v>
      </c>
      <c r="D120" s="42" t="s">
        <v>333</v>
      </c>
      <c r="E120" s="101">
        <v>1.1278984943574715</v>
      </c>
      <c r="F120" s="44">
        <v>0.5</v>
      </c>
    </row>
    <row r="121" spans="1:6">
      <c r="A121" s="45">
        <v>119</v>
      </c>
      <c r="B121" s="159" t="s">
        <v>750</v>
      </c>
      <c r="C121" s="161" t="s">
        <v>604</v>
      </c>
      <c r="D121" s="159" t="s">
        <v>299</v>
      </c>
      <c r="E121" s="101">
        <v>1.1304530362822627</v>
      </c>
      <c r="F121" s="44">
        <v>0.5</v>
      </c>
    </row>
    <row r="122" spans="1:6">
      <c r="A122" s="45">
        <v>120</v>
      </c>
      <c r="B122" s="159" t="s">
        <v>743</v>
      </c>
      <c r="C122" s="161" t="s">
        <v>597</v>
      </c>
      <c r="D122" s="159" t="s">
        <v>330</v>
      </c>
      <c r="E122" s="101">
        <v>1.1639978762027812</v>
      </c>
      <c r="F122" s="44">
        <v>0.5</v>
      </c>
    </row>
    <row r="123" spans="1:6">
      <c r="A123" s="45">
        <v>121</v>
      </c>
      <c r="B123" s="159" t="s">
        <v>643</v>
      </c>
      <c r="C123" s="161" t="s">
        <v>495</v>
      </c>
      <c r="D123" s="42" t="s">
        <v>333</v>
      </c>
      <c r="E123" s="101">
        <v>1.1669143147984036</v>
      </c>
      <c r="F123" s="44">
        <v>0.5</v>
      </c>
    </row>
    <row r="124" spans="1:6">
      <c r="A124" s="45">
        <v>122</v>
      </c>
      <c r="B124" s="159" t="s">
        <v>738</v>
      </c>
      <c r="C124" s="161" t="s">
        <v>592</v>
      </c>
      <c r="D124" s="159" t="s">
        <v>330</v>
      </c>
      <c r="E124" s="101">
        <v>1.1779969151080243</v>
      </c>
      <c r="F124" s="44">
        <v>0.5</v>
      </c>
    </row>
    <row r="125" spans="1:6">
      <c r="A125" s="45">
        <v>123</v>
      </c>
      <c r="B125" s="159" t="s">
        <v>649</v>
      </c>
      <c r="C125" s="161" t="s">
        <v>502</v>
      </c>
      <c r="D125" s="159" t="s">
        <v>306</v>
      </c>
      <c r="E125" s="101">
        <v>1.1857581229150673</v>
      </c>
      <c r="F125" s="44">
        <v>0.5</v>
      </c>
    </row>
    <row r="126" spans="1:6">
      <c r="A126" s="45">
        <v>124</v>
      </c>
      <c r="B126" s="43" t="s">
        <v>637</v>
      </c>
      <c r="C126" s="161" t="s">
        <v>489</v>
      </c>
      <c r="D126" s="42" t="s">
        <v>333</v>
      </c>
      <c r="E126" s="101">
        <v>1.1911536042396296</v>
      </c>
      <c r="F126" s="44">
        <v>0.5</v>
      </c>
    </row>
    <row r="127" spans="1:6">
      <c r="A127" s="45">
        <v>125</v>
      </c>
      <c r="B127" s="159" t="s">
        <v>768</v>
      </c>
      <c r="C127" s="161" t="s">
        <v>622</v>
      </c>
      <c r="D127" s="159" t="s">
        <v>410</v>
      </c>
      <c r="E127" s="101">
        <v>1.1925067140553454</v>
      </c>
      <c r="F127" s="44">
        <v>0.5</v>
      </c>
    </row>
    <row r="128" spans="1:6">
      <c r="A128" s="45">
        <v>126</v>
      </c>
      <c r="B128" s="159" t="s">
        <v>684</v>
      </c>
      <c r="C128" s="161" t="s">
        <v>537</v>
      </c>
      <c r="D128" s="159" t="s">
        <v>416</v>
      </c>
      <c r="E128" s="101">
        <v>1.229628518645951</v>
      </c>
      <c r="F128" s="44">
        <v>0.5</v>
      </c>
    </row>
    <row r="129" spans="1:6">
      <c r="A129" s="45">
        <v>127</v>
      </c>
      <c r="B129" s="159" t="s">
        <v>683</v>
      </c>
      <c r="C129" s="161" t="s">
        <v>536</v>
      </c>
      <c r="D129" s="159" t="s">
        <v>416</v>
      </c>
      <c r="E129" s="101">
        <v>1.2305432467557615</v>
      </c>
      <c r="F129" s="44">
        <v>0.5</v>
      </c>
    </row>
    <row r="130" spans="1:6">
      <c r="A130" s="45">
        <v>128</v>
      </c>
      <c r="B130" s="159" t="s">
        <v>719</v>
      </c>
      <c r="C130" s="161" t="s">
        <v>573</v>
      </c>
      <c r="D130" s="159" t="s">
        <v>418</v>
      </c>
      <c r="E130" s="101">
        <v>1.2368078678173902</v>
      </c>
      <c r="F130" s="44">
        <v>0.5</v>
      </c>
    </row>
    <row r="131" spans="1:6">
      <c r="A131" s="45">
        <v>129</v>
      </c>
      <c r="B131" s="159" t="s">
        <v>654</v>
      </c>
      <c r="C131" s="161" t="s">
        <v>507</v>
      </c>
      <c r="D131" s="159" t="s">
        <v>411</v>
      </c>
      <c r="E131" s="101">
        <v>1.2370961149734168</v>
      </c>
      <c r="F131" s="44">
        <v>0.5</v>
      </c>
    </row>
    <row r="132" spans="1:6">
      <c r="A132" s="45">
        <v>130</v>
      </c>
      <c r="B132" s="159" t="s">
        <v>687</v>
      </c>
      <c r="C132" s="161" t="s">
        <v>540</v>
      </c>
      <c r="D132" s="159" t="s">
        <v>416</v>
      </c>
      <c r="E132" s="101">
        <v>1.2373475595625127</v>
      </c>
      <c r="F132" s="44">
        <v>0.5</v>
      </c>
    </row>
    <row r="133" spans="1:6">
      <c r="A133" s="45">
        <v>131</v>
      </c>
      <c r="B133" s="159" t="s">
        <v>656</v>
      </c>
      <c r="C133" s="161" t="s">
        <v>509</v>
      </c>
      <c r="D133" s="159" t="s">
        <v>411</v>
      </c>
      <c r="E133" s="101">
        <v>1.2761548706139563</v>
      </c>
      <c r="F133" s="44">
        <v>0.5</v>
      </c>
    </row>
    <row r="134" spans="1:6">
      <c r="A134" s="45">
        <v>132</v>
      </c>
      <c r="B134" s="159" t="s">
        <v>756</v>
      </c>
      <c r="C134" s="161" t="s">
        <v>610</v>
      </c>
      <c r="D134" s="159" t="s">
        <v>299</v>
      </c>
      <c r="E134" s="101">
        <v>1.311439261229534</v>
      </c>
      <c r="F134" s="44">
        <v>0.5</v>
      </c>
    </row>
    <row r="135" spans="1:6">
      <c r="A135" s="45">
        <v>133</v>
      </c>
      <c r="B135" s="43" t="s">
        <v>638</v>
      </c>
      <c r="C135" s="161" t="s">
        <v>490</v>
      </c>
      <c r="D135" s="42" t="s">
        <v>333</v>
      </c>
      <c r="E135" s="101">
        <v>1.3245288356546556</v>
      </c>
      <c r="F135" s="44">
        <v>0.5</v>
      </c>
    </row>
    <row r="136" spans="1:6">
      <c r="A136" s="45">
        <v>134</v>
      </c>
      <c r="B136" s="159" t="s">
        <v>744</v>
      </c>
      <c r="C136" s="161" t="s">
        <v>598</v>
      </c>
      <c r="D136" s="159" t="s">
        <v>414</v>
      </c>
      <c r="E136" s="101">
        <v>1.3498793807557898</v>
      </c>
      <c r="F136" s="44">
        <v>0.5</v>
      </c>
    </row>
    <row r="137" spans="1:6">
      <c r="A137" s="45">
        <v>135</v>
      </c>
      <c r="B137" s="159" t="s">
        <v>644</v>
      </c>
      <c r="C137" s="161" t="s">
        <v>496</v>
      </c>
      <c r="D137" s="42" t="s">
        <v>333</v>
      </c>
      <c r="E137" s="101">
        <v>1.360737990523895</v>
      </c>
      <c r="F137" s="44">
        <v>0.5</v>
      </c>
    </row>
    <row r="138" spans="1:6">
      <c r="A138" s="45">
        <v>136</v>
      </c>
      <c r="B138" s="159" t="s">
        <v>745</v>
      </c>
      <c r="C138" s="161" t="s">
        <v>599</v>
      </c>
      <c r="D138" s="159" t="s">
        <v>414</v>
      </c>
      <c r="E138" s="101">
        <v>1.3819172408721712</v>
      </c>
      <c r="F138" s="44">
        <v>0.5</v>
      </c>
    </row>
    <row r="139" spans="1:6">
      <c r="A139" s="45">
        <v>137</v>
      </c>
      <c r="B139" s="159" t="s">
        <v>736</v>
      </c>
      <c r="C139" s="161" t="s">
        <v>590</v>
      </c>
      <c r="D139" s="159" t="s">
        <v>330</v>
      </c>
      <c r="E139" s="101">
        <v>1.386736858040776</v>
      </c>
      <c r="F139" s="44">
        <v>0.5</v>
      </c>
    </row>
    <row r="140" spans="1:6">
      <c r="A140" s="45">
        <v>138</v>
      </c>
      <c r="B140" s="159" t="s">
        <v>682</v>
      </c>
      <c r="C140" s="161" t="s">
        <v>535</v>
      </c>
      <c r="D140" s="159" t="s">
        <v>416</v>
      </c>
      <c r="E140" s="101">
        <v>1.392862526628065</v>
      </c>
      <c r="F140" s="44">
        <v>0.5</v>
      </c>
    </row>
    <row r="141" spans="1:6">
      <c r="A141" s="45">
        <v>139</v>
      </c>
      <c r="B141" s="159" t="s">
        <v>740</v>
      </c>
      <c r="C141" s="161" t="s">
        <v>594</v>
      </c>
      <c r="D141" s="159" t="s">
        <v>330</v>
      </c>
      <c r="E141" s="101">
        <v>1.3975203220772978</v>
      </c>
      <c r="F141" s="44">
        <v>0.5</v>
      </c>
    </row>
    <row r="142" spans="1:6">
      <c r="A142" s="45">
        <v>140</v>
      </c>
      <c r="B142" s="159" t="s">
        <v>709</v>
      </c>
      <c r="C142" s="161" t="s">
        <v>563</v>
      </c>
      <c r="D142" s="159" t="s">
        <v>292</v>
      </c>
      <c r="E142" s="101">
        <v>1.405812413306277</v>
      </c>
      <c r="F142" s="44">
        <v>0.5</v>
      </c>
    </row>
    <row r="143" spans="1:6">
      <c r="A143" s="45">
        <v>141</v>
      </c>
      <c r="B143" s="159" t="s">
        <v>755</v>
      </c>
      <c r="C143" s="161" t="s">
        <v>609</v>
      </c>
      <c r="D143" s="159" t="s">
        <v>299</v>
      </c>
      <c r="E143" s="101">
        <v>1.4158563533875566</v>
      </c>
      <c r="F143" s="44">
        <v>0.5</v>
      </c>
    </row>
    <row r="144" spans="1:6">
      <c r="A144" s="45">
        <v>142</v>
      </c>
      <c r="B144" s="159" t="s">
        <v>707</v>
      </c>
      <c r="C144" s="161" t="s">
        <v>560</v>
      </c>
      <c r="D144" s="159" t="s">
        <v>292</v>
      </c>
      <c r="E144" s="101">
        <v>1.44730508785939</v>
      </c>
      <c r="F144" s="44">
        <v>0.5</v>
      </c>
    </row>
    <row r="145" spans="1:6">
      <c r="A145" s="45">
        <v>143</v>
      </c>
      <c r="B145" s="159" t="s">
        <v>748</v>
      </c>
      <c r="C145" s="161" t="s">
        <v>602</v>
      </c>
      <c r="D145" s="159" t="s">
        <v>414</v>
      </c>
      <c r="E145" s="101">
        <v>1.4697198616767049</v>
      </c>
      <c r="F145" s="44">
        <v>0.5</v>
      </c>
    </row>
    <row r="146" spans="1:6">
      <c r="A146" s="45">
        <v>144</v>
      </c>
      <c r="B146" s="159" t="s">
        <v>655</v>
      </c>
      <c r="C146" s="161" t="s">
        <v>508</v>
      </c>
      <c r="D146" s="159" t="s">
        <v>411</v>
      </c>
      <c r="E146" s="101">
        <v>1.5029992791954556</v>
      </c>
      <c r="F146" s="44">
        <v>0.5</v>
      </c>
    </row>
    <row r="147" spans="1:6">
      <c r="A147" s="45">
        <v>145</v>
      </c>
      <c r="B147" s="159" t="s">
        <v>645</v>
      </c>
      <c r="C147" s="161" t="s">
        <v>497</v>
      </c>
      <c r="D147" s="159" t="s">
        <v>306</v>
      </c>
      <c r="E147" s="101">
        <v>1.5096207672209685</v>
      </c>
      <c r="F147" s="44">
        <v>0.5</v>
      </c>
    </row>
    <row r="148" spans="1:6">
      <c r="A148" s="45">
        <v>146</v>
      </c>
      <c r="B148" s="159" t="s">
        <v>784</v>
      </c>
      <c r="C148" s="161" t="s">
        <v>561</v>
      </c>
      <c r="D148" s="159" t="s">
        <v>292</v>
      </c>
      <c r="E148" s="101">
        <v>1.5251336383943452</v>
      </c>
      <c r="F148" s="44">
        <v>0.5</v>
      </c>
    </row>
    <row r="149" spans="1:6">
      <c r="A149" s="45">
        <v>147</v>
      </c>
      <c r="B149" s="159" t="s">
        <v>739</v>
      </c>
      <c r="C149" s="161" t="s">
        <v>593</v>
      </c>
      <c r="D149" s="159" t="s">
        <v>330</v>
      </c>
      <c r="E149" s="101">
        <v>1.5458940346374159</v>
      </c>
      <c r="F149" s="44">
        <v>0.5</v>
      </c>
    </row>
    <row r="150" spans="1:6">
      <c r="A150" s="45">
        <v>148</v>
      </c>
      <c r="B150" s="159" t="s">
        <v>716</v>
      </c>
      <c r="C150" s="161" t="s">
        <v>570</v>
      </c>
      <c r="D150" s="159" t="s">
        <v>418</v>
      </c>
      <c r="E150" s="101">
        <v>1.8122785760035098</v>
      </c>
      <c r="F150" s="44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showGridLines="0" view="pageBreakPreview" topLeftCell="A13" zoomScale="175" zoomScaleNormal="78" zoomScaleSheetLayoutView="175" workbookViewId="0">
      <selection activeCell="F23" sqref="F23"/>
    </sheetView>
  </sheetViews>
  <sheetFormatPr defaultColWidth="9.140625" defaultRowHeight="1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>
      <c r="A1" s="454" t="s">
        <v>3</v>
      </c>
      <c r="B1" s="455" t="s">
        <v>32</v>
      </c>
      <c r="C1" s="455" t="s">
        <v>30</v>
      </c>
      <c r="D1" s="460" t="s">
        <v>43</v>
      </c>
      <c r="E1" s="455" t="s">
        <v>10</v>
      </c>
    </row>
    <row r="2" spans="1:7" ht="39.75" customHeight="1">
      <c r="A2" s="454"/>
      <c r="B2" s="456"/>
      <c r="C2" s="456"/>
      <c r="D2" s="461"/>
      <c r="E2" s="456"/>
    </row>
    <row r="3" spans="1:7">
      <c r="A3" s="42">
        <v>1</v>
      </c>
      <c r="B3" s="43" t="s">
        <v>487</v>
      </c>
      <c r="C3" s="43" t="s">
        <v>474</v>
      </c>
      <c r="D3" s="101">
        <v>0.7281587087278707</v>
      </c>
      <c r="E3" s="44">
        <v>0.6</v>
      </c>
    </row>
    <row r="4" spans="1:7">
      <c r="A4" s="42">
        <v>2</v>
      </c>
      <c r="B4" s="43" t="s">
        <v>483</v>
      </c>
      <c r="C4" s="43" t="s">
        <v>469</v>
      </c>
      <c r="D4" s="101">
        <v>0.76549986094505451</v>
      </c>
      <c r="E4" s="44">
        <v>0.6</v>
      </c>
    </row>
    <row r="5" spans="1:7">
      <c r="A5" s="42">
        <v>3</v>
      </c>
      <c r="B5" s="43" t="s">
        <v>412</v>
      </c>
      <c r="C5" s="43" t="s">
        <v>461</v>
      </c>
      <c r="D5" s="101">
        <v>0.79247839325145741</v>
      </c>
      <c r="E5" s="44">
        <v>0.6</v>
      </c>
    </row>
    <row r="6" spans="1:7">
      <c r="A6" s="42">
        <v>4</v>
      </c>
      <c r="B6" s="43" t="s">
        <v>420</v>
      </c>
      <c r="C6" s="43" t="s">
        <v>477</v>
      </c>
      <c r="D6" s="101">
        <v>0.84850775452525684</v>
      </c>
      <c r="E6" s="44">
        <v>0.55000000000000004</v>
      </c>
    </row>
    <row r="7" spans="1:7">
      <c r="A7" s="42">
        <v>5</v>
      </c>
      <c r="B7" s="43" t="s">
        <v>344</v>
      </c>
      <c r="C7" s="43" t="s">
        <v>476</v>
      </c>
      <c r="D7" s="101">
        <v>0.85373368115152892</v>
      </c>
      <c r="E7" s="44">
        <v>0.5</v>
      </c>
    </row>
    <row r="8" spans="1:7">
      <c r="A8" s="42">
        <v>6</v>
      </c>
      <c r="B8" s="43" t="s">
        <v>417</v>
      </c>
      <c r="C8" s="43" t="s">
        <v>468</v>
      </c>
      <c r="D8" s="101">
        <v>0.86312109392565584</v>
      </c>
      <c r="E8" s="44">
        <v>0.5</v>
      </c>
      <c r="F8" s="407"/>
    </row>
    <row r="9" spans="1:7">
      <c r="A9" s="42">
        <v>7</v>
      </c>
      <c r="B9" s="43" t="s">
        <v>486</v>
      </c>
      <c r="C9" s="43" t="s">
        <v>473</v>
      </c>
      <c r="D9" s="101">
        <v>0.86787596869877548</v>
      </c>
      <c r="E9" s="44">
        <v>0.5</v>
      </c>
    </row>
    <row r="10" spans="1:7">
      <c r="A10" s="42">
        <v>8</v>
      </c>
      <c r="B10" s="43" t="s">
        <v>481</v>
      </c>
      <c r="C10" s="43" t="s">
        <v>466</v>
      </c>
      <c r="D10" s="101">
        <v>0.86966012034348195</v>
      </c>
      <c r="E10" s="44">
        <v>0.5</v>
      </c>
    </row>
    <row r="11" spans="1:7" ht="24">
      <c r="A11" s="42">
        <v>9</v>
      </c>
      <c r="B11" s="43" t="s">
        <v>485</v>
      </c>
      <c r="C11" s="43" t="s">
        <v>472</v>
      </c>
      <c r="D11" s="101">
        <v>0.89484109982485804</v>
      </c>
      <c r="E11" s="44">
        <v>0.5</v>
      </c>
    </row>
    <row r="12" spans="1:7">
      <c r="A12" s="42">
        <v>10</v>
      </c>
      <c r="B12" s="43" t="s">
        <v>315</v>
      </c>
      <c r="C12" s="43" t="s">
        <v>463</v>
      </c>
      <c r="D12" s="101">
        <v>0.92713706809638396</v>
      </c>
      <c r="E12" s="44">
        <v>0.5</v>
      </c>
    </row>
    <row r="13" spans="1:7">
      <c r="A13" s="42">
        <v>11</v>
      </c>
      <c r="B13" s="43" t="s">
        <v>484</v>
      </c>
      <c r="C13" s="43" t="s">
        <v>470</v>
      </c>
      <c r="D13" s="101">
        <v>0.93080501804764004</v>
      </c>
      <c r="E13" s="44">
        <v>0.5</v>
      </c>
      <c r="F13" s="409"/>
      <c r="G13" s="410"/>
    </row>
    <row r="14" spans="1:7">
      <c r="A14" s="42">
        <v>12</v>
      </c>
      <c r="B14" s="43" t="s">
        <v>479</v>
      </c>
      <c r="C14" s="43" t="s">
        <v>462</v>
      </c>
      <c r="D14" s="101">
        <v>0.98441970074194851</v>
      </c>
      <c r="E14" s="44">
        <v>0.5</v>
      </c>
      <c r="F14" s="395"/>
    </row>
    <row r="15" spans="1:7">
      <c r="A15" s="42">
        <v>13</v>
      </c>
      <c r="B15" s="43" t="s">
        <v>419</v>
      </c>
      <c r="C15" s="43" t="s">
        <v>471</v>
      </c>
      <c r="D15" s="101">
        <v>1.0082404595044481</v>
      </c>
      <c r="E15" s="44">
        <v>0.5</v>
      </c>
    </row>
    <row r="16" spans="1:7">
      <c r="A16" s="42">
        <v>14</v>
      </c>
      <c r="B16" s="43" t="s">
        <v>482</v>
      </c>
      <c r="C16" s="43" t="s">
        <v>467</v>
      </c>
      <c r="D16" s="101">
        <v>1.0508254003672473</v>
      </c>
      <c r="E16" s="44">
        <v>0.5</v>
      </c>
      <c r="F16" s="388"/>
      <c r="G16" s="389"/>
    </row>
    <row r="17" spans="1:6">
      <c r="A17" s="42">
        <v>15</v>
      </c>
      <c r="B17" s="43" t="s">
        <v>478</v>
      </c>
      <c r="C17" s="43" t="s">
        <v>460</v>
      </c>
      <c r="D17" s="101">
        <v>1.0943960456386441</v>
      </c>
      <c r="E17" s="44">
        <v>0.5</v>
      </c>
      <c r="F17" s="395"/>
    </row>
    <row r="18" spans="1:6">
      <c r="A18" s="42">
        <v>16</v>
      </c>
      <c r="B18" s="43" t="s">
        <v>488</v>
      </c>
      <c r="C18" s="43" t="s">
        <v>475</v>
      </c>
      <c r="D18" s="101">
        <v>1.1583766734687897</v>
      </c>
      <c r="E18" s="44">
        <v>0.5</v>
      </c>
      <c r="F18" s="134"/>
    </row>
    <row r="19" spans="1:6">
      <c r="A19" s="42">
        <v>17</v>
      </c>
      <c r="B19" s="43" t="s">
        <v>336</v>
      </c>
      <c r="C19" s="43" t="s">
        <v>465</v>
      </c>
      <c r="D19" s="101">
        <v>1.2841222685642981</v>
      </c>
      <c r="E19" s="44">
        <v>0.5</v>
      </c>
    </row>
    <row r="20" spans="1:6">
      <c r="A20" s="42">
        <v>18</v>
      </c>
      <c r="B20" s="43" t="s">
        <v>480</v>
      </c>
      <c r="C20" s="43" t="s">
        <v>464</v>
      </c>
      <c r="D20" s="101">
        <v>1.2950406621039174</v>
      </c>
      <c r="E20" s="44">
        <v>0.5</v>
      </c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">
      <formula1>NOT(F18)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rochowskik</cp:lastModifiedBy>
  <cp:lastPrinted>2020-03-30T14:06:54Z</cp:lastPrinted>
  <dcterms:created xsi:type="dcterms:W3CDTF">2019-02-25T10:53:14Z</dcterms:created>
  <dcterms:modified xsi:type="dcterms:W3CDTF">2020-07-17T10:59:15Z</dcterms:modified>
</cp:coreProperties>
</file>