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  <sheet name="pow poz dof" sheetId="10" r:id="rId6"/>
    <sheet name="gm poz dof" sheetId="11" r:id="rId7"/>
    <sheet name="mpp poz dof" sheetId="12" r:id="rId8"/>
  </sheets>
  <definedNames>
    <definedName name="_xlnm._FilterDatabase" localSheetId="2" hidden="1">'gm podst'!$A$1:$AB$90</definedName>
    <definedName name="_xlnm._FilterDatabase" localSheetId="6" hidden="1">'gm poz dof'!$A$1:$F$150</definedName>
    <definedName name="_xlnm._FilterDatabase" localSheetId="4" hidden="1">'gm rez'!$A$1:$AB$27</definedName>
    <definedName name="_xlnm._FilterDatabase" localSheetId="7" hidden="1">'mpp poz dof'!$A$1:$E$20</definedName>
    <definedName name="_xlnm._FilterDatabase" localSheetId="1" hidden="1">'pow podst'!$A$1:$AA$51</definedName>
    <definedName name="_xlnm.Print_Area" localSheetId="0">'24 - śląskie'!$A$1:$O$38</definedName>
    <definedName name="_xlnm.Print_Area" localSheetId="2">'gm podst'!$A$1:$X$96</definedName>
    <definedName name="_xlnm.Print_Area" localSheetId="6">'gm poz dof'!$A$1:$F$150</definedName>
    <definedName name="_xlnm.Print_Area" localSheetId="4">'gm rez'!$A$1:$X$27</definedName>
    <definedName name="_xlnm.Print_Area" localSheetId="7">'mpp poz dof'!$A$1:$E$20</definedName>
    <definedName name="_xlnm.Print_Area" localSheetId="1">'pow podst'!$A$1:$W$57</definedName>
    <definedName name="_xlnm.Print_Area" localSheetId="5">'pow poz dof'!$A$1:$E$19</definedName>
    <definedName name="_xlnm.Print_Area" localSheetId="3">'pow rez'!$A$1:$W$19</definedName>
    <definedName name="_xlnm.Print_Titles" localSheetId="2">'gm podst'!$1:$2</definedName>
    <definedName name="_xlnm.Print_Titles" localSheetId="6">'gm poz dof'!$1:$2</definedName>
    <definedName name="_xlnm.Print_Titles" localSheetId="4">'gm rez'!$1:$2</definedName>
    <definedName name="_xlnm.Print_Titles" localSheetId="7">'mpp poz dof'!$1:$2</definedName>
    <definedName name="_xlnm.Print_Titles" localSheetId="1">'pow podst'!$1:$2</definedName>
    <definedName name="_xlnm.Print_Titles" localSheetId="5">'pow poz dof'!$1:$2</definedName>
    <definedName name="_xlnm.Print_Titles" localSheetId="3">'pow rez'!$1:$2</definedName>
  </definedNames>
  <calcPr calcId="124519"/>
</workbook>
</file>

<file path=xl/calcChain.xml><?xml version="1.0" encoding="utf-8"?>
<calcChain xmlns="http://schemas.openxmlformats.org/spreadsheetml/2006/main">
  <c r="Z81" i="5"/>
  <c r="AA81" s="1"/>
  <c r="AB81"/>
  <c r="L17" i="3"/>
  <c r="M86" i="5" l="1"/>
  <c r="Y45" i="3" l="1"/>
  <c r="Z45" s="1"/>
  <c r="AA45"/>
  <c r="Y46"/>
  <c r="Z46"/>
  <c r="AA46"/>
  <c r="Y47"/>
  <c r="Z47" s="1"/>
  <c r="AA47"/>
  <c r="K70" i="5"/>
  <c r="K67" l="1"/>
  <c r="N67" s="1"/>
  <c r="N37" l="1"/>
  <c r="N8"/>
  <c r="P86" l="1"/>
  <c r="AB85"/>
  <c r="Z85"/>
  <c r="AA85" s="1"/>
  <c r="P85"/>
  <c r="Y85" s="1"/>
  <c r="P83" l="1"/>
  <c r="Z86"/>
  <c r="AA86" s="1"/>
  <c r="AB86"/>
  <c r="Y86"/>
  <c r="L84"/>
  <c r="M84" s="1"/>
  <c r="M83"/>
  <c r="Y84" l="1"/>
  <c r="AB84"/>
  <c r="Z84"/>
  <c r="AA84" s="1"/>
  <c r="Y83"/>
  <c r="AB83"/>
  <c r="Z83"/>
  <c r="AA83" s="1"/>
  <c r="P36"/>
  <c r="K36"/>
  <c r="N36" s="1"/>
  <c r="Z82"/>
  <c r="AA82" s="1"/>
  <c r="AB82" l="1"/>
  <c r="Y82"/>
  <c r="L81"/>
  <c r="M81" s="1"/>
  <c r="AB80"/>
  <c r="Z80"/>
  <c r="AA80" s="1"/>
  <c r="Y80"/>
  <c r="K65" l="1"/>
  <c r="N5" l="1"/>
  <c r="K47" i="3" l="1"/>
  <c r="M47" s="1"/>
  <c r="X46"/>
  <c r="L47" l="1"/>
  <c r="O47"/>
  <c r="P37" i="5"/>
  <c r="O26" i="3"/>
  <c r="P62" i="5" l="1"/>
  <c r="K62"/>
  <c r="N62" s="1"/>
  <c r="N3" l="1"/>
  <c r="AB79"/>
  <c r="Z79"/>
  <c r="AA79" s="1"/>
  <c r="P79"/>
  <c r="Y79" l="1"/>
  <c r="N77" l="1"/>
  <c r="AA18" i="3" l="1"/>
  <c r="P61" i="5" l="1"/>
  <c r="L78" l="1"/>
  <c r="P40" l="1"/>
  <c r="K40"/>
  <c r="N40" s="1"/>
  <c r="M78" l="1"/>
  <c r="AB78" l="1"/>
  <c r="X45" i="3"/>
  <c r="Y78" i="5"/>
  <c r="Z78"/>
  <c r="AA78" s="1"/>
  <c r="AB77"/>
  <c r="Z77"/>
  <c r="AA77" s="1"/>
  <c r="P77"/>
  <c r="Y77" s="1"/>
  <c r="AA44" i="3" l="1"/>
  <c r="Y44"/>
  <c r="Z44" s="1"/>
  <c r="O44"/>
  <c r="X44" s="1"/>
  <c r="X47" l="1"/>
  <c r="M40"/>
  <c r="K46" i="5" l="1"/>
  <c r="K38"/>
  <c r="K56"/>
  <c r="K27"/>
  <c r="O23" i="3" l="1"/>
  <c r="N61" i="5" l="1"/>
  <c r="N18"/>
  <c r="K22" i="3" l="1"/>
  <c r="O24" l="1"/>
  <c r="Y68" i="5" l="1"/>
  <c r="Z68"/>
  <c r="AA68" s="1"/>
  <c r="AB68"/>
  <c r="Y69"/>
  <c r="Y70"/>
  <c r="Z70"/>
  <c r="AA70" s="1"/>
  <c r="AB70"/>
  <c r="Y74"/>
  <c r="Z74"/>
  <c r="AA74" s="1"/>
  <c r="AB74"/>
  <c r="Z58"/>
  <c r="Z59"/>
  <c r="AA36" i="3"/>
  <c r="Y36"/>
  <c r="AA19"/>
  <c r="Y19"/>
  <c r="AA41"/>
  <c r="Y41"/>
  <c r="Z41" s="1"/>
  <c r="O41"/>
  <c r="X41" s="1"/>
  <c r="AA42" l="1"/>
  <c r="Y42"/>
  <c r="Z42" s="1"/>
  <c r="AA43"/>
  <c r="Y43"/>
  <c r="Z43" s="1"/>
  <c r="K39"/>
  <c r="L39" s="1"/>
  <c r="L76" i="5"/>
  <c r="L75"/>
  <c r="M76" l="1"/>
  <c r="AB76" s="1"/>
  <c r="Z76"/>
  <c r="AA76" s="1"/>
  <c r="Y76"/>
  <c r="M75"/>
  <c r="AB75" s="1"/>
  <c r="Y75"/>
  <c r="Z75"/>
  <c r="AA75" s="1"/>
  <c r="O30" i="3"/>
  <c r="M25"/>
  <c r="K38"/>
  <c r="M38" s="1"/>
  <c r="P29" i="5" l="1"/>
  <c r="K29"/>
  <c r="N29" l="1"/>
  <c r="P66"/>
  <c r="K66"/>
  <c r="N66" l="1"/>
  <c r="N63"/>
  <c r="N49"/>
  <c r="N39"/>
  <c r="N26"/>
  <c r="N24"/>
  <c r="N21"/>
  <c r="L44"/>
  <c r="K44" l="1"/>
  <c r="N44" s="1"/>
  <c r="P21"/>
  <c r="M36" i="3" l="1"/>
  <c r="M27" l="1"/>
  <c r="K64" i="5"/>
  <c r="N64" l="1"/>
  <c r="K45"/>
  <c r="K69" l="1"/>
  <c r="Z69" l="1"/>
  <c r="AA69" s="1"/>
  <c r="AB69"/>
  <c r="K52"/>
  <c r="M21" i="3" l="1"/>
  <c r="O33" l="1"/>
  <c r="J33"/>
  <c r="L73" i="5"/>
  <c r="L72"/>
  <c r="L71"/>
  <c r="N71" l="1"/>
  <c r="M73"/>
  <c r="AB73" s="1"/>
  <c r="Y73"/>
  <c r="Z73"/>
  <c r="AA73" s="1"/>
  <c r="M72"/>
  <c r="AB72" s="1"/>
  <c r="Y72"/>
  <c r="Z72"/>
  <c r="AA72" s="1"/>
  <c r="M71"/>
  <c r="AB71" s="1"/>
  <c r="Z71"/>
  <c r="Y71"/>
  <c r="K30"/>
  <c r="N30" s="1"/>
  <c r="AA71" l="1"/>
  <c r="L32"/>
  <c r="M33" i="3" l="1"/>
  <c r="P55" i="5" l="1"/>
  <c r="L38" i="3" l="1"/>
  <c r="X40" l="1"/>
  <c r="Y40"/>
  <c r="Z40" s="1"/>
  <c r="AA40"/>
  <c r="X37"/>
  <c r="Y37"/>
  <c r="Z37" s="1"/>
  <c r="X38"/>
  <c r="Y38"/>
  <c r="Z38" s="1"/>
  <c r="AA38"/>
  <c r="X39"/>
  <c r="Y39"/>
  <c r="Z39" s="1"/>
  <c r="AA39"/>
  <c r="AA37"/>
  <c r="N9" i="5" l="1"/>
  <c r="M13" i="3"/>
  <c r="M9"/>
  <c r="M8"/>
  <c r="M4"/>
  <c r="K3" l="1"/>
  <c r="I23" i="6" l="1"/>
  <c r="I22"/>
  <c r="I21"/>
  <c r="K89" i="5"/>
  <c r="I90"/>
  <c r="I89"/>
  <c r="I87"/>
  <c r="H49" i="3"/>
  <c r="H50"/>
  <c r="H51"/>
  <c r="H48"/>
  <c r="O25" l="1"/>
  <c r="O29"/>
  <c r="O87" i="5"/>
  <c r="P87"/>
  <c r="Q87"/>
  <c r="I88"/>
  <c r="L88"/>
  <c r="M88"/>
  <c r="O88"/>
  <c r="P88"/>
  <c r="Q88"/>
  <c r="O89"/>
  <c r="P89"/>
  <c r="Q89"/>
  <c r="O90"/>
  <c r="P90"/>
  <c r="Q90"/>
  <c r="O48" i="3" l="1"/>
  <c r="P48"/>
  <c r="Q48"/>
  <c r="R48"/>
  <c r="S48"/>
  <c r="T48"/>
  <c r="U48"/>
  <c r="W48"/>
  <c r="O49"/>
  <c r="P49"/>
  <c r="Q49"/>
  <c r="R49"/>
  <c r="S49"/>
  <c r="T49"/>
  <c r="U49"/>
  <c r="V49"/>
  <c r="W49"/>
  <c r="O50"/>
  <c r="P50"/>
  <c r="Q50"/>
  <c r="R50"/>
  <c r="S50"/>
  <c r="T50"/>
  <c r="U50"/>
  <c r="W50"/>
  <c r="O51"/>
  <c r="P51"/>
  <c r="Q51"/>
  <c r="R51"/>
  <c r="S51"/>
  <c r="T51"/>
  <c r="U51"/>
  <c r="W51"/>
  <c r="N51"/>
  <c r="N50"/>
  <c r="J51"/>
  <c r="J50"/>
  <c r="J15" i="4"/>
  <c r="J14"/>
  <c r="R87" i="5"/>
  <c r="S87"/>
  <c r="T87"/>
  <c r="U87"/>
  <c r="V87"/>
  <c r="W87"/>
  <c r="X87"/>
  <c r="R88"/>
  <c r="S88"/>
  <c r="T88"/>
  <c r="U88"/>
  <c r="V88"/>
  <c r="W88"/>
  <c r="X88"/>
  <c r="R89"/>
  <c r="S89"/>
  <c r="T89"/>
  <c r="U89"/>
  <c r="V89"/>
  <c r="W89"/>
  <c r="X89"/>
  <c r="R90"/>
  <c r="S90"/>
  <c r="T90"/>
  <c r="U90"/>
  <c r="V90"/>
  <c r="W90"/>
  <c r="X90"/>
  <c r="J48" i="3"/>
  <c r="N15" i="4"/>
  <c r="N14"/>
  <c r="N13"/>
  <c r="N48" i="3"/>
  <c r="R21" i="6"/>
  <c r="S21"/>
  <c r="T21"/>
  <c r="U21"/>
  <c r="V21"/>
  <c r="W21"/>
  <c r="X21"/>
  <c r="R22"/>
  <c r="S22"/>
  <c r="T22"/>
  <c r="U22"/>
  <c r="V22"/>
  <c r="W22"/>
  <c r="X22"/>
  <c r="R23"/>
  <c r="S23"/>
  <c r="T23"/>
  <c r="U23"/>
  <c r="V23"/>
  <c r="W23"/>
  <c r="X23"/>
  <c r="Q21"/>
  <c r="Q22"/>
  <c r="Q23"/>
  <c r="P13" i="4"/>
  <c r="Q13"/>
  <c r="R13"/>
  <c r="S13"/>
  <c r="T13"/>
  <c r="U13"/>
  <c r="V13"/>
  <c r="W13"/>
  <c r="P14"/>
  <c r="Q14"/>
  <c r="R14"/>
  <c r="S14"/>
  <c r="T14"/>
  <c r="U14"/>
  <c r="V14"/>
  <c r="W14"/>
  <c r="P15"/>
  <c r="Q15"/>
  <c r="R15"/>
  <c r="S15"/>
  <c r="T15"/>
  <c r="U15"/>
  <c r="V15"/>
  <c r="W15"/>
  <c r="O15"/>
  <c r="O14"/>
  <c r="N49" i="3"/>
  <c r="L49"/>
  <c r="K49"/>
  <c r="J49"/>
  <c r="O18" i="7" l="1"/>
  <c r="N18"/>
  <c r="M18"/>
  <c r="L18"/>
  <c r="K18"/>
  <c r="J18"/>
  <c r="I18"/>
  <c r="H18"/>
  <c r="G18"/>
  <c r="O27"/>
  <c r="N27"/>
  <c r="M27"/>
  <c r="L27"/>
  <c r="K27"/>
  <c r="J27"/>
  <c r="I27"/>
  <c r="H27"/>
  <c r="G27"/>
  <c r="O28"/>
  <c r="N28"/>
  <c r="M28"/>
  <c r="L28"/>
  <c r="K28"/>
  <c r="J28"/>
  <c r="I28"/>
  <c r="H28"/>
  <c r="G28"/>
  <c r="F27"/>
  <c r="O26"/>
  <c r="N26"/>
  <c r="M26"/>
  <c r="L26"/>
  <c r="K26"/>
  <c r="J26"/>
  <c r="I26"/>
  <c r="H26"/>
  <c r="G26"/>
  <c r="F26"/>
  <c r="F28"/>
  <c r="O19"/>
  <c r="N19"/>
  <c r="M19"/>
  <c r="L19"/>
  <c r="K19"/>
  <c r="J19"/>
  <c r="I19"/>
  <c r="H19"/>
  <c r="G19"/>
  <c r="O21"/>
  <c r="N21"/>
  <c r="M21"/>
  <c r="L21"/>
  <c r="K21"/>
  <c r="J21"/>
  <c r="I21"/>
  <c r="H21"/>
  <c r="G21"/>
  <c r="O20"/>
  <c r="N20"/>
  <c r="M20"/>
  <c r="L20"/>
  <c r="K20"/>
  <c r="J20"/>
  <c r="I20"/>
  <c r="H20"/>
  <c r="G20"/>
  <c r="F21"/>
  <c r="F20"/>
  <c r="F19"/>
  <c r="F18"/>
  <c r="E19"/>
  <c r="D19"/>
  <c r="C20"/>
  <c r="B21"/>
  <c r="B20"/>
  <c r="B19"/>
  <c r="O17"/>
  <c r="L17"/>
  <c r="K17"/>
  <c r="J17"/>
  <c r="I17"/>
  <c r="H17"/>
  <c r="G17"/>
  <c r="O16"/>
  <c r="L16"/>
  <c r="K16"/>
  <c r="J16"/>
  <c r="I16"/>
  <c r="H16"/>
  <c r="G16"/>
  <c r="O15"/>
  <c r="N15"/>
  <c r="M15"/>
  <c r="L15"/>
  <c r="K15"/>
  <c r="J15"/>
  <c r="I15"/>
  <c r="H15"/>
  <c r="G15"/>
  <c r="F17"/>
  <c r="F16"/>
  <c r="F15"/>
  <c r="C16"/>
  <c r="E15"/>
  <c r="D15"/>
  <c r="C15"/>
  <c r="O14"/>
  <c r="L14"/>
  <c r="K14"/>
  <c r="J14"/>
  <c r="I14"/>
  <c r="H14"/>
  <c r="G14"/>
  <c r="F14"/>
  <c r="C14"/>
  <c r="B17"/>
  <c r="B16"/>
  <c r="B15"/>
  <c r="L47" l="1"/>
  <c r="J44"/>
  <c r="H47"/>
  <c r="O47"/>
  <c r="L44"/>
  <c r="K47"/>
  <c r="H44"/>
  <c r="G47"/>
  <c r="O44"/>
  <c r="G44"/>
  <c r="K44"/>
  <c r="I44"/>
  <c r="I47"/>
  <c r="M47"/>
  <c r="F47"/>
  <c r="J47"/>
  <c r="N47"/>
  <c r="F45"/>
  <c r="H45"/>
  <c r="J45"/>
  <c r="L45"/>
  <c r="N45"/>
  <c r="G45"/>
  <c r="I45"/>
  <c r="K45"/>
  <c r="M45"/>
  <c r="O45"/>
  <c r="F44"/>
  <c r="X3" i="3"/>
  <c r="Y3"/>
  <c r="Z3" s="1"/>
  <c r="AA3"/>
  <c r="X4"/>
  <c r="Y4"/>
  <c r="Z4" s="1"/>
  <c r="AA4"/>
  <c r="X5"/>
  <c r="Y5"/>
  <c r="Z5" s="1"/>
  <c r="AA5"/>
  <c r="X6"/>
  <c r="Y6"/>
  <c r="Z6" s="1"/>
  <c r="AA6"/>
  <c r="X7"/>
  <c r="Y7"/>
  <c r="Z7" s="1"/>
  <c r="AA7"/>
  <c r="X8"/>
  <c r="Y8"/>
  <c r="Z8" s="1"/>
  <c r="AA8"/>
  <c r="X9"/>
  <c r="Y9"/>
  <c r="Z9" s="1"/>
  <c r="AA9"/>
  <c r="X10"/>
  <c r="Y10"/>
  <c r="Z10" s="1"/>
  <c r="AA10"/>
  <c r="X11"/>
  <c r="Y11"/>
  <c r="Z11" s="1"/>
  <c r="AA11"/>
  <c r="X12"/>
  <c r="Y12"/>
  <c r="Z12" s="1"/>
  <c r="AA12"/>
  <c r="X13"/>
  <c r="Y13"/>
  <c r="Z13" s="1"/>
  <c r="AA13"/>
  <c r="X14"/>
  <c r="Y14"/>
  <c r="Z14" s="1"/>
  <c r="AA14"/>
  <c r="X15"/>
  <c r="Y15"/>
  <c r="Z15" s="1"/>
  <c r="AA15"/>
  <c r="X16"/>
  <c r="Y16"/>
  <c r="Z16" s="1"/>
  <c r="AA16"/>
  <c r="X17"/>
  <c r="Y17"/>
  <c r="Z17" s="1"/>
  <c r="AA17"/>
  <c r="Y20" i="6"/>
  <c r="Z20"/>
  <c r="AA20" s="1"/>
  <c r="Y3" i="5" l="1"/>
  <c r="Z3"/>
  <c r="AA3" s="1"/>
  <c r="AB3"/>
  <c r="Y4"/>
  <c r="Z4"/>
  <c r="AA4" s="1"/>
  <c r="AB4"/>
  <c r="Y5"/>
  <c r="Z5"/>
  <c r="AA5" s="1"/>
  <c r="AB5"/>
  <c r="Y6"/>
  <c r="Z6"/>
  <c r="AA6" s="1"/>
  <c r="AB6"/>
  <c r="Y7"/>
  <c r="Z7"/>
  <c r="AA7" s="1"/>
  <c r="AB7"/>
  <c r="Y8"/>
  <c r="Z8"/>
  <c r="AA8" s="1"/>
  <c r="AB8"/>
  <c r="Y9"/>
  <c r="Y10"/>
  <c r="Z10"/>
  <c r="AA10" s="1"/>
  <c r="AB10"/>
  <c r="Y11"/>
  <c r="Y12"/>
  <c r="Z12"/>
  <c r="AA12" s="1"/>
  <c r="AB12"/>
  <c r="Y13"/>
  <c r="Z13"/>
  <c r="AA13" s="1"/>
  <c r="AB13"/>
  <c r="Y14"/>
  <c r="Z14"/>
  <c r="AA14" s="1"/>
  <c r="AB14"/>
  <c r="Y15"/>
  <c r="Z15"/>
  <c r="AA15" s="1"/>
  <c r="AB15"/>
  <c r="Y16"/>
  <c r="Z16"/>
  <c r="AA16" s="1"/>
  <c r="AB16"/>
  <c r="Y17"/>
  <c r="Z17"/>
  <c r="AA17" s="1"/>
  <c r="AB17"/>
  <c r="Y18"/>
  <c r="Z18"/>
  <c r="AA18" s="1"/>
  <c r="AB18"/>
  <c r="Y19"/>
  <c r="Z19"/>
  <c r="AA19" s="1"/>
  <c r="AB19"/>
  <c r="K23" i="6" l="1"/>
  <c r="K22"/>
  <c r="K21"/>
  <c r="J13" i="4"/>
  <c r="P22" i="6"/>
  <c r="I31" i="7"/>
  <c r="J31"/>
  <c r="K31"/>
  <c r="L31"/>
  <c r="M31"/>
  <c r="N31"/>
  <c r="O31"/>
  <c r="I30"/>
  <c r="J30"/>
  <c r="K30"/>
  <c r="L30"/>
  <c r="M30"/>
  <c r="N30"/>
  <c r="O30"/>
  <c r="H30"/>
  <c r="J29"/>
  <c r="K29"/>
  <c r="L29"/>
  <c r="M29"/>
  <c r="N29"/>
  <c r="O29"/>
  <c r="I29"/>
  <c r="H31"/>
  <c r="H29"/>
  <c r="G30"/>
  <c r="F31"/>
  <c r="F30"/>
  <c r="F29"/>
  <c r="C31"/>
  <c r="C30"/>
  <c r="C29"/>
  <c r="B31"/>
  <c r="B30"/>
  <c r="C28"/>
  <c r="B28"/>
  <c r="B27"/>
  <c r="C27"/>
  <c r="C26"/>
  <c r="AB20" i="6"/>
  <c r="M48" i="7" l="1"/>
  <c r="I48"/>
  <c r="C48"/>
  <c r="L48"/>
  <c r="O48"/>
  <c r="K48"/>
  <c r="C47"/>
  <c r="F48"/>
  <c r="H48"/>
  <c r="N48"/>
  <c r="J48"/>
  <c r="AB19" i="6"/>
  <c r="Y19"/>
  <c r="Z19"/>
  <c r="AA19" s="1"/>
  <c r="G29" i="7"/>
  <c r="G31"/>
  <c r="P21" i="6"/>
  <c r="P23"/>
  <c r="G48" i="7" l="1"/>
  <c r="O13" i="4"/>
  <c r="AB12" i="6" l="1"/>
  <c r="Z12"/>
  <c r="AA12" s="1"/>
  <c r="Y12"/>
  <c r="AB14"/>
  <c r="Z14"/>
  <c r="AA14" s="1"/>
  <c r="Y14"/>
  <c r="AB18"/>
  <c r="Z18"/>
  <c r="AA18" s="1"/>
  <c r="Y18"/>
  <c r="AB15"/>
  <c r="Y15"/>
  <c r="Z15"/>
  <c r="AA15" s="1"/>
  <c r="AB16"/>
  <c r="Y16"/>
  <c r="Z16"/>
  <c r="AA16" s="1"/>
  <c r="AB11"/>
  <c r="Z11"/>
  <c r="AA11" s="1"/>
  <c r="Y11"/>
  <c r="Y17"/>
  <c r="Z17"/>
  <c r="AA17" s="1"/>
  <c r="AB13"/>
  <c r="Y13"/>
  <c r="Z13"/>
  <c r="AA13" s="1"/>
  <c r="Y10"/>
  <c r="Z10"/>
  <c r="AA10" s="1"/>
  <c r="AB10"/>
  <c r="AA12" i="4"/>
  <c r="X12"/>
  <c r="Y12"/>
  <c r="Z12" s="1"/>
  <c r="G32" i="7" l="1"/>
  <c r="K88" i="5" l="1"/>
  <c r="C19" i="7"/>
  <c r="Z9" i="5"/>
  <c r="AA9" s="1"/>
  <c r="AB9"/>
  <c r="Z11"/>
  <c r="AA11" s="1"/>
  <c r="AB11"/>
  <c r="H15" i="4" l="1"/>
  <c r="H14"/>
  <c r="H13"/>
  <c r="Y9" l="1"/>
  <c r="Z9" s="1"/>
  <c r="Y8"/>
  <c r="Z8" s="1"/>
  <c r="X4"/>
  <c r="Y5"/>
  <c r="Z5" s="1"/>
  <c r="K14" l="1"/>
  <c r="E27" i="7"/>
  <c r="X3" i="4"/>
  <c r="Y6"/>
  <c r="Z6" s="1"/>
  <c r="AA4"/>
  <c r="AA8"/>
  <c r="AA9"/>
  <c r="X9"/>
  <c r="X8"/>
  <c r="X6"/>
  <c r="Y4"/>
  <c r="Z4" s="1"/>
  <c r="Y3"/>
  <c r="Z3" s="1"/>
  <c r="X5"/>
  <c r="AA5"/>
  <c r="X7"/>
  <c r="Y7"/>
  <c r="Z7" s="1"/>
  <c r="AA7"/>
  <c r="AA6" l="1"/>
  <c r="L14"/>
  <c r="D27" i="7"/>
  <c r="AA3" i="4"/>
  <c r="AB17" i="6" l="1"/>
  <c r="AB5" l="1"/>
  <c r="Z5"/>
  <c r="AA5" s="1"/>
  <c r="Y5"/>
  <c r="AB7"/>
  <c r="Y7"/>
  <c r="Z7"/>
  <c r="AA7" s="1"/>
  <c r="AB6"/>
  <c r="Y6"/>
  <c r="Z6"/>
  <c r="AA6" s="1"/>
  <c r="Y3"/>
  <c r="Z3"/>
  <c r="AA3" s="1"/>
  <c r="E31" i="7"/>
  <c r="B29"/>
  <c r="B48" s="1"/>
  <c r="E29"/>
  <c r="AB8" i="6"/>
  <c r="Z8"/>
  <c r="AA8" s="1"/>
  <c r="Y8"/>
  <c r="AB9"/>
  <c r="Y9"/>
  <c r="Z9"/>
  <c r="AA9" s="1"/>
  <c r="Z4"/>
  <c r="AA4" s="1"/>
  <c r="Y4"/>
  <c r="E30" i="7"/>
  <c r="L22" i="6"/>
  <c r="L23"/>
  <c r="L21"/>
  <c r="E48" i="7" l="1"/>
  <c r="D31"/>
  <c r="D29"/>
  <c r="M22" i="6"/>
  <c r="AB22" s="1"/>
  <c r="D30" i="7"/>
  <c r="Z21" i="6"/>
  <c r="AA21" s="1"/>
  <c r="AB4"/>
  <c r="Z23"/>
  <c r="AA23" s="1"/>
  <c r="Z22"/>
  <c r="AA22" s="1"/>
  <c r="AB3"/>
  <c r="M23"/>
  <c r="AB23" s="1"/>
  <c r="M21"/>
  <c r="AB21" s="1"/>
  <c r="D48" i="7" l="1"/>
  <c r="L41" i="5" l="1"/>
  <c r="L45"/>
  <c r="L50"/>
  <c r="L33"/>
  <c r="M32" l="1"/>
  <c r="Y32"/>
  <c r="Z32"/>
  <c r="AA32" s="1"/>
  <c r="AB67"/>
  <c r="Y67"/>
  <c r="Z67"/>
  <c r="AA67" s="1"/>
  <c r="M55"/>
  <c r="Y55"/>
  <c r="Z55"/>
  <c r="AA55" s="1"/>
  <c r="AB43"/>
  <c r="Y43"/>
  <c r="Z43"/>
  <c r="AA43" s="1"/>
  <c r="AB31"/>
  <c r="Y31"/>
  <c r="Z31"/>
  <c r="AA31" s="1"/>
  <c r="AB27"/>
  <c r="Y27"/>
  <c r="Z27"/>
  <c r="AA27" s="1"/>
  <c r="Y23"/>
  <c r="Z23"/>
  <c r="AA23" s="1"/>
  <c r="AB66"/>
  <c r="Y66"/>
  <c r="Z66"/>
  <c r="AA66" s="1"/>
  <c r="AB62"/>
  <c r="Y62"/>
  <c r="Z62"/>
  <c r="AA62" s="1"/>
  <c r="AB58"/>
  <c r="Y58"/>
  <c r="AA58"/>
  <c r="AB54"/>
  <c r="Y54"/>
  <c r="Z54"/>
  <c r="AA54" s="1"/>
  <c r="M50"/>
  <c r="AB50" s="1"/>
  <c r="Y50"/>
  <c r="Z50"/>
  <c r="AA50" s="1"/>
  <c r="AB46"/>
  <c r="Y46"/>
  <c r="Z46"/>
  <c r="AA46" s="1"/>
  <c r="AB42"/>
  <c r="Y42"/>
  <c r="Z42"/>
  <c r="AA42" s="1"/>
  <c r="AB38"/>
  <c r="Y38"/>
  <c r="Z38"/>
  <c r="AA38" s="1"/>
  <c r="AB28"/>
  <c r="Y28"/>
  <c r="Z28"/>
  <c r="AA28" s="1"/>
  <c r="M63"/>
  <c r="Y63"/>
  <c r="Z63"/>
  <c r="AA63" s="1"/>
  <c r="AB51"/>
  <c r="Y51"/>
  <c r="Z51"/>
  <c r="AA51" s="1"/>
  <c r="Y39"/>
  <c r="Z39"/>
  <c r="AA39" s="1"/>
  <c r="AB30"/>
  <c r="Y30"/>
  <c r="Z30"/>
  <c r="AA30" s="1"/>
  <c r="AB22"/>
  <c r="Y22"/>
  <c r="Z22"/>
  <c r="AA22" s="1"/>
  <c r="AB65"/>
  <c r="Y65"/>
  <c r="Z65"/>
  <c r="AA65" s="1"/>
  <c r="AB61"/>
  <c r="Y61"/>
  <c r="Z61"/>
  <c r="AA61" s="1"/>
  <c r="M57"/>
  <c r="Y57"/>
  <c r="Z57"/>
  <c r="AA57" s="1"/>
  <c r="AB53"/>
  <c r="Y53"/>
  <c r="Z53"/>
  <c r="AA53" s="1"/>
  <c r="Y49"/>
  <c r="Z49"/>
  <c r="AA49" s="1"/>
  <c r="M45"/>
  <c r="AB45" s="1"/>
  <c r="Y45"/>
  <c r="Z45"/>
  <c r="AA45" s="1"/>
  <c r="M41"/>
  <c r="AB41" s="1"/>
  <c r="Y41"/>
  <c r="Z41"/>
  <c r="AA41" s="1"/>
  <c r="Y37"/>
  <c r="Z37"/>
  <c r="AA37" s="1"/>
  <c r="AB24"/>
  <c r="Y24"/>
  <c r="Z24"/>
  <c r="AA24" s="1"/>
  <c r="AB59"/>
  <c r="Y59"/>
  <c r="AA59"/>
  <c r="AB47"/>
  <c r="Y47"/>
  <c r="Z47"/>
  <c r="AA47" s="1"/>
  <c r="Y35"/>
  <c r="Z35"/>
  <c r="AA35" s="1"/>
  <c r="M34"/>
  <c r="Y34"/>
  <c r="Z34"/>
  <c r="AA34" s="1"/>
  <c r="AB26"/>
  <c r="Y26"/>
  <c r="Z26"/>
  <c r="AA26" s="1"/>
  <c r="M33"/>
  <c r="AB33" s="1"/>
  <c r="Y33"/>
  <c r="Z33"/>
  <c r="AA33" s="1"/>
  <c r="AB29"/>
  <c r="Y29"/>
  <c r="Z29"/>
  <c r="AA29" s="1"/>
  <c r="AB25"/>
  <c r="Y25"/>
  <c r="Z25"/>
  <c r="AA25" s="1"/>
  <c r="AB21"/>
  <c r="Y21"/>
  <c r="Z21"/>
  <c r="AA21" s="1"/>
  <c r="AB64"/>
  <c r="Y64"/>
  <c r="Z64"/>
  <c r="AA64" s="1"/>
  <c r="AB60"/>
  <c r="Y60"/>
  <c r="Z60"/>
  <c r="AA60" s="1"/>
  <c r="AB56"/>
  <c r="Y56"/>
  <c r="Z56"/>
  <c r="AA56" s="1"/>
  <c r="AB52"/>
  <c r="Y52"/>
  <c r="Z52"/>
  <c r="AA52" s="1"/>
  <c r="Y48"/>
  <c r="Z48"/>
  <c r="AA48" s="1"/>
  <c r="AB48"/>
  <c r="Y40"/>
  <c r="Z40"/>
  <c r="AA40" s="1"/>
  <c r="AB36"/>
  <c r="Y36"/>
  <c r="Z36"/>
  <c r="AA36" s="1"/>
  <c r="AB40"/>
  <c r="AB39"/>
  <c r="AB49"/>
  <c r="AB37"/>
  <c r="AB35"/>
  <c r="AB57" l="1"/>
  <c r="AB63"/>
  <c r="AB55"/>
  <c r="AB32"/>
  <c r="AB34"/>
  <c r="AB23"/>
  <c r="K35" i="3"/>
  <c r="K50" l="1"/>
  <c r="E16" i="7"/>
  <c r="AA26" i="3"/>
  <c r="Y26"/>
  <c r="Z26" s="1"/>
  <c r="AA25"/>
  <c r="Y25"/>
  <c r="Z25" s="1"/>
  <c r="AA21"/>
  <c r="Y21"/>
  <c r="Z21" s="1"/>
  <c r="AA30"/>
  <c r="Y30"/>
  <c r="Z30" s="1"/>
  <c r="L22"/>
  <c r="AA22" s="1"/>
  <c r="Y22"/>
  <c r="Z22" s="1"/>
  <c r="AA29"/>
  <c r="Y29"/>
  <c r="Z29" s="1"/>
  <c r="AA32"/>
  <c r="Y32"/>
  <c r="Z32" s="1"/>
  <c r="X32"/>
  <c r="AA28"/>
  <c r="Y28"/>
  <c r="Z28" s="1"/>
  <c r="AA24"/>
  <c r="Y24"/>
  <c r="Z24" s="1"/>
  <c r="AA20"/>
  <c r="Y20"/>
  <c r="Z20" s="1"/>
  <c r="AA34"/>
  <c r="Y34"/>
  <c r="Z34" s="1"/>
  <c r="AA33"/>
  <c r="Y33"/>
  <c r="Z33" s="1"/>
  <c r="X33"/>
  <c r="Z36"/>
  <c r="L35"/>
  <c r="AA35" s="1"/>
  <c r="Y35"/>
  <c r="Z35" s="1"/>
  <c r="M17" i="7"/>
  <c r="AA31" i="3"/>
  <c r="Y31"/>
  <c r="Z31" s="1"/>
  <c r="X31"/>
  <c r="AA27"/>
  <c r="Y27"/>
  <c r="Z27" s="1"/>
  <c r="AA23"/>
  <c r="Y23"/>
  <c r="Z23" s="1"/>
  <c r="Z19"/>
  <c r="L50" l="1"/>
  <c r="D16" i="7"/>
  <c r="P16" s="1"/>
  <c r="M16"/>
  <c r="M14"/>
  <c r="Q31"/>
  <c r="P31"/>
  <c r="P27"/>
  <c r="O34"/>
  <c r="N34"/>
  <c r="M34"/>
  <c r="L34"/>
  <c r="K34"/>
  <c r="J34"/>
  <c r="I34"/>
  <c r="H34"/>
  <c r="G34"/>
  <c r="F34"/>
  <c r="C34"/>
  <c r="B34"/>
  <c r="O33"/>
  <c r="N33"/>
  <c r="M33"/>
  <c r="L33"/>
  <c r="K33"/>
  <c r="I33"/>
  <c r="H33"/>
  <c r="G33"/>
  <c r="F33"/>
  <c r="C33"/>
  <c r="B33"/>
  <c r="O24"/>
  <c r="L24"/>
  <c r="K24"/>
  <c r="J24"/>
  <c r="I24"/>
  <c r="H24"/>
  <c r="G24"/>
  <c r="F24"/>
  <c r="C24"/>
  <c r="B24"/>
  <c r="O23"/>
  <c r="N23"/>
  <c r="M23"/>
  <c r="L23"/>
  <c r="K23"/>
  <c r="J23"/>
  <c r="J36" s="1"/>
  <c r="J41" s="1"/>
  <c r="I23"/>
  <c r="H23"/>
  <c r="G23"/>
  <c r="F23"/>
  <c r="E23"/>
  <c r="D23"/>
  <c r="C23"/>
  <c r="B23"/>
  <c r="B36" s="1"/>
  <c r="B41" s="1"/>
  <c r="O22" i="6"/>
  <c r="Q19" i="7"/>
  <c r="P19"/>
  <c r="Q15"/>
  <c r="P15"/>
  <c r="L37" l="1"/>
  <c r="L42" s="1"/>
  <c r="G37"/>
  <c r="G42" s="1"/>
  <c r="K37"/>
  <c r="K42" s="1"/>
  <c r="F37"/>
  <c r="F42" s="1"/>
  <c r="O37"/>
  <c r="O42" s="1"/>
  <c r="G49"/>
  <c r="B37"/>
  <c r="B42" s="1"/>
  <c r="H37"/>
  <c r="H42" s="1"/>
  <c r="C37"/>
  <c r="C42" s="1"/>
  <c r="I37"/>
  <c r="I42" s="1"/>
  <c r="D36"/>
  <c r="D41" s="1"/>
  <c r="F36"/>
  <c r="F41" s="1"/>
  <c r="H36"/>
  <c r="H41" s="1"/>
  <c r="L36"/>
  <c r="L41" s="1"/>
  <c r="N36"/>
  <c r="N41" s="1"/>
  <c r="C36"/>
  <c r="C41" s="1"/>
  <c r="E36"/>
  <c r="E41" s="1"/>
  <c r="G36"/>
  <c r="G41" s="1"/>
  <c r="I36"/>
  <c r="I41" s="1"/>
  <c r="K36"/>
  <c r="K41" s="1"/>
  <c r="M36"/>
  <c r="M41" s="1"/>
  <c r="O36"/>
  <c r="O41" s="1"/>
  <c r="M44"/>
  <c r="Y22" i="6"/>
  <c r="M24" i="7"/>
  <c r="M37" s="1"/>
  <c r="M42" s="1"/>
  <c r="Y88" i="5"/>
  <c r="Z88"/>
  <c r="AA88" s="1"/>
  <c r="AB88"/>
  <c r="Y14" i="4"/>
  <c r="P23" i="7"/>
  <c r="Q23"/>
  <c r="L89" i="5"/>
  <c r="P36" i="7" l="1"/>
  <c r="Q36"/>
  <c r="K15" i="4"/>
  <c r="K13"/>
  <c r="E28" i="7"/>
  <c r="E26"/>
  <c r="B26"/>
  <c r="B47" s="1"/>
  <c r="E20"/>
  <c r="M89" i="5"/>
  <c r="X49" i="3"/>
  <c r="O25" i="7"/>
  <c r="O38" s="1"/>
  <c r="O43" s="1"/>
  <c r="M25"/>
  <c r="M38" s="1"/>
  <c r="M43" s="1"/>
  <c r="L25"/>
  <c r="L38" s="1"/>
  <c r="L43" s="1"/>
  <c r="K25"/>
  <c r="K38" s="1"/>
  <c r="K43" s="1"/>
  <c r="J25"/>
  <c r="J38" s="1"/>
  <c r="J43" s="1"/>
  <c r="I25"/>
  <c r="I38" s="1"/>
  <c r="H25"/>
  <c r="H38" s="1"/>
  <c r="H43" s="1"/>
  <c r="G25"/>
  <c r="G38" s="1"/>
  <c r="G43" s="1"/>
  <c r="F25"/>
  <c r="F38" s="1"/>
  <c r="F43" s="1"/>
  <c r="B25"/>
  <c r="B38" s="1"/>
  <c r="B43" s="1"/>
  <c r="O23" i="6"/>
  <c r="O21"/>
  <c r="AB89" i="5" l="1"/>
  <c r="E47" i="7"/>
  <c r="I43"/>
  <c r="D20"/>
  <c r="L15" i="4"/>
  <c r="D28" i="7"/>
  <c r="D26"/>
  <c r="D32" s="1"/>
  <c r="L13" i="4"/>
  <c r="Y23" i="6"/>
  <c r="Z89" i="5"/>
  <c r="AA89" s="1"/>
  <c r="Y21" i="6"/>
  <c r="E34" i="7"/>
  <c r="Q34" s="1"/>
  <c r="L32"/>
  <c r="L49" s="1"/>
  <c r="K32"/>
  <c r="K49" s="1"/>
  <c r="O32"/>
  <c r="O49" s="1"/>
  <c r="Q30"/>
  <c r="E33"/>
  <c r="H32"/>
  <c r="H49" s="1"/>
  <c r="Q29"/>
  <c r="Q20"/>
  <c r="E24"/>
  <c r="Y49" i="3"/>
  <c r="AA49"/>
  <c r="Q26" i="7"/>
  <c r="J32"/>
  <c r="E32"/>
  <c r="I32"/>
  <c r="I49" s="1"/>
  <c r="M32"/>
  <c r="M49" s="1"/>
  <c r="F32"/>
  <c r="F49" s="1"/>
  <c r="N32"/>
  <c r="N49" s="1"/>
  <c r="C32"/>
  <c r="C49" s="1"/>
  <c r="B32"/>
  <c r="B49" s="1"/>
  <c r="Y50" i="3"/>
  <c r="AA50"/>
  <c r="X11" i="4"/>
  <c r="Y11"/>
  <c r="Z11" s="1"/>
  <c r="AA11"/>
  <c r="AA10"/>
  <c r="Y10"/>
  <c r="Z10" s="1"/>
  <c r="X10"/>
  <c r="AB20" i="5"/>
  <c r="Z20"/>
  <c r="AA20" s="1"/>
  <c r="Y20"/>
  <c r="E37" i="7" l="1"/>
  <c r="E42" s="1"/>
  <c r="E49"/>
  <c r="P26"/>
  <c r="D47"/>
  <c r="Q28"/>
  <c r="D34"/>
  <c r="P34" s="1"/>
  <c r="P28"/>
  <c r="P29"/>
  <c r="P30"/>
  <c r="D33"/>
  <c r="P20"/>
  <c r="D24"/>
  <c r="K22"/>
  <c r="J22"/>
  <c r="M22"/>
  <c r="O22"/>
  <c r="P32"/>
  <c r="H22"/>
  <c r="I22"/>
  <c r="Q32"/>
  <c r="L22"/>
  <c r="D49" l="1"/>
  <c r="D37"/>
  <c r="D42" s="1"/>
  <c r="L35"/>
  <c r="L40" s="1"/>
  <c r="L46"/>
  <c r="H35"/>
  <c r="H40" s="1"/>
  <c r="H46"/>
  <c r="O35"/>
  <c r="O40" s="1"/>
  <c r="O46"/>
  <c r="M35"/>
  <c r="M40" s="1"/>
  <c r="M46"/>
  <c r="K35"/>
  <c r="K40" s="1"/>
  <c r="K46"/>
  <c r="I35"/>
  <c r="I40" s="1"/>
  <c r="I46"/>
  <c r="J35"/>
  <c r="J46"/>
  <c r="J33"/>
  <c r="Q27"/>
  <c r="P33"/>
  <c r="P24"/>
  <c r="P37" l="1"/>
  <c r="J37"/>
  <c r="J40" s="1"/>
  <c r="J49"/>
  <c r="Q33"/>
  <c r="J42" l="1"/>
  <c r="G22" l="1"/>
  <c r="F22"/>
  <c r="F46" s="1"/>
  <c r="X15" i="4"/>
  <c r="Y15"/>
  <c r="AA15"/>
  <c r="G35" i="7" l="1"/>
  <c r="G40" s="1"/>
  <c r="G46"/>
  <c r="F35"/>
  <c r="F40" s="1"/>
  <c r="C17"/>
  <c r="C44" s="1"/>
  <c r="Z18" i="3" l="1"/>
  <c r="K51"/>
  <c r="K48"/>
  <c r="E14" i="7"/>
  <c r="B14"/>
  <c r="B44" s="1"/>
  <c r="E17"/>
  <c r="E44" l="1"/>
  <c r="L48" i="3"/>
  <c r="D14" i="7"/>
  <c r="Y48" i="3"/>
  <c r="Y51"/>
  <c r="D17" i="7"/>
  <c r="L51" i="3"/>
  <c r="AA48" l="1"/>
  <c r="AA51"/>
  <c r="D44" i="7"/>
  <c r="P14"/>
  <c r="P17"/>
  <c r="AA14" i="4" l="1"/>
  <c r="X14"/>
  <c r="X13"/>
  <c r="Y13"/>
  <c r="AA13"/>
  <c r="Y89" i="5" l="1"/>
  <c r="K90"/>
  <c r="K87"/>
  <c r="L90"/>
  <c r="D18" i="7"/>
  <c r="C18"/>
  <c r="C22" s="1"/>
  <c r="E21"/>
  <c r="E25" s="1"/>
  <c r="Y44" i="5"/>
  <c r="C21" i="7"/>
  <c r="Z90" i="5" l="1"/>
  <c r="AA90" s="1"/>
  <c r="D22" i="7"/>
  <c r="C35"/>
  <c r="E38"/>
  <c r="Q21"/>
  <c r="Y90" i="5"/>
  <c r="M87"/>
  <c r="D21" i="7"/>
  <c r="M90" i="5"/>
  <c r="B18" i="7"/>
  <c r="L87" i="5"/>
  <c r="E18" i="7"/>
  <c r="C45"/>
  <c r="Z44" i="5"/>
  <c r="AA44" s="1"/>
  <c r="AB44"/>
  <c r="C25" i="7"/>
  <c r="C46" s="1"/>
  <c r="AB90" i="5" l="1"/>
  <c r="D25" i="7"/>
  <c r="D38" s="1"/>
  <c r="D43" s="1"/>
  <c r="Y87" i="5"/>
  <c r="Z87"/>
  <c r="AA87" s="1"/>
  <c r="E43" i="7"/>
  <c r="D45"/>
  <c r="B22"/>
  <c r="B45"/>
  <c r="E45"/>
  <c r="Q18"/>
  <c r="E22"/>
  <c r="P21"/>
  <c r="C38"/>
  <c r="C40" s="1"/>
  <c r="P18"/>
  <c r="AB87" i="5"/>
  <c r="D35" i="7"/>
  <c r="D46" l="1"/>
  <c r="D40"/>
  <c r="P25"/>
  <c r="B35"/>
  <c r="B40" s="1"/>
  <c r="B46"/>
  <c r="P38"/>
  <c r="C43"/>
  <c r="E46"/>
  <c r="E35"/>
  <c r="P22"/>
  <c r="E40" l="1"/>
  <c r="P35"/>
  <c r="X20" i="3"/>
  <c r="X21"/>
  <c r="X27"/>
  <c r="X30"/>
  <c r="X34"/>
  <c r="X19"/>
  <c r="X36"/>
  <c r="X25"/>
  <c r="V48"/>
  <c r="X48" s="1"/>
  <c r="V50"/>
  <c r="X50" s="1"/>
  <c r="X24"/>
  <c r="X35"/>
  <c r="X22"/>
  <c r="X43"/>
  <c r="X28"/>
  <c r="X29"/>
  <c r="X26"/>
  <c r="X23"/>
  <c r="N16" i="7"/>
  <c r="Q16" s="1"/>
  <c r="N14"/>
  <c r="N22" s="1"/>
  <c r="V51" i="3"/>
  <c r="X51" s="1"/>
  <c r="X18"/>
  <c r="N17" i="7"/>
  <c r="X42" i="3"/>
  <c r="Q14" i="7" l="1"/>
  <c r="Q22"/>
  <c r="N35"/>
  <c r="N24"/>
  <c r="N25"/>
  <c r="N44"/>
  <c r="Q17"/>
  <c r="Q24" l="1"/>
  <c r="N37"/>
  <c r="Q35"/>
  <c r="Q25"/>
  <c r="N38"/>
  <c r="N46"/>
  <c r="N40" l="1"/>
  <c r="Q37"/>
  <c r="N42"/>
  <c r="Q38"/>
  <c r="N43"/>
</calcChain>
</file>

<file path=xl/sharedStrings.xml><?xml version="1.0" encoding="utf-8"?>
<sst xmlns="http://schemas.openxmlformats.org/spreadsheetml/2006/main" count="1655" uniqueCount="887">
  <si>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</si>
  <si>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</si>
  <si>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</si>
  <si>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</si>
  <si>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</si>
  <si>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</si>
  <si>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</si>
  <si>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</si>
  <si>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</si>
  <si>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</si>
  <si>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</si>
  <si>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</si>
  <si>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</si>
  <si>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</si>
  <si>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</si>
  <si>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</si>
  <si>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</si>
  <si>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</si>
  <si>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</si>
  <si>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</si>
  <si>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</si>
  <si>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</si>
  <si>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</si>
  <si>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</si>
  <si>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</si>
  <si>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</si>
  <si>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</si>
  <si>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</si>
  <si>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</si>
  <si>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</si>
  <si>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</si>
  <si>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Liczba zadań</t>
  </si>
  <si>
    <t>Miasto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</si>
  <si>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</si>
  <si>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</si>
  <si>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</si>
  <si>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</si>
  <si>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</si>
  <si>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</si>
  <si>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</si>
  <si>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</si>
  <si>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</si>
  <si>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</si>
  <si>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Dochód własny j.s.t. na 1 mieszk. w stosunku do średniego dochodu własnego w skali kraju na 1 mieszk. (w %)</t>
  </si>
  <si>
    <t>210/19</t>
  </si>
  <si>
    <t>MIASTO JAWORZNO</t>
  </si>
  <si>
    <t>Przebudowa ul. Martyniaków 6809 S w Jaworznie</t>
  </si>
  <si>
    <t>267/19</t>
  </si>
  <si>
    <t>262/19</t>
  </si>
  <si>
    <t>240/19</t>
  </si>
  <si>
    <t>328/19</t>
  </si>
  <si>
    <t>218/19</t>
  </si>
  <si>
    <t>217/19</t>
  </si>
  <si>
    <t>225/19</t>
  </si>
  <si>
    <t>238/19</t>
  </si>
  <si>
    <t>258/19</t>
  </si>
  <si>
    <t>268/19</t>
  </si>
  <si>
    <t>226/19</t>
  </si>
  <si>
    <t>286/19</t>
  </si>
  <si>
    <t>204/19</t>
  </si>
  <si>
    <t>294/19</t>
  </si>
  <si>
    <t>257/19</t>
  </si>
  <si>
    <t>316/19</t>
  </si>
  <si>
    <t>310/19</t>
  </si>
  <si>
    <t>237/19</t>
  </si>
  <si>
    <t>249/19</t>
  </si>
  <si>
    <t>W</t>
  </si>
  <si>
    <t>N</t>
  </si>
  <si>
    <t>POWIAT BIELSKI</t>
  </si>
  <si>
    <t>MIASTO JASTRZĘBIE - ZDRÓJ</t>
  </si>
  <si>
    <t>POWIAT PSZCZYŃSKI</t>
  </si>
  <si>
    <t>POWIAT RACIBORSKI</t>
  </si>
  <si>
    <t>POWIAT GLIWICKI</t>
  </si>
  <si>
    <t>POWIAT ZAWIERCIAŃSKI</t>
  </si>
  <si>
    <t>POWIAT WODZISŁAWSKI</t>
  </si>
  <si>
    <t>POWIAT CIESZYŃSKI</t>
  </si>
  <si>
    <t>POWIAT TARNOGÓRSKI</t>
  </si>
  <si>
    <t>POWIAT MYSZKOWSKI</t>
  </si>
  <si>
    <t>POWIAT ŻYWIECKI</t>
  </si>
  <si>
    <t xml:space="preserve">MIASTO CZĘSTOCHOWA </t>
  </si>
  <si>
    <t>MIASTO MYSŁOWICE</t>
  </si>
  <si>
    <t xml:space="preserve">Przebudowa drogi powiatowej nr 4490S w Zasolu Bielańskim na odcinku 1734 m wraz z przebudową skrzyżowania z drogą powiatową nr 4491S na rondo i przebudową drogi 4491 S na łącznej długości 58 m  </t>
  </si>
  <si>
    <t>Rozbudowa odcinka al. Piłsudskiego wraz ze skrzyżowaniem oraz budowa wiaduktu w Jastrzębiu - Zdroju</t>
  </si>
  <si>
    <t>Przebudowa dróg powiatowych 4149S tj. ul. Szkolnej w Porębie i ul. Porębskiej w Radostowicach</t>
  </si>
  <si>
    <t>Rozbudowa odcinka drogi powiatowej nr 3504S w Kornicach na odcinku od początku skrzyżowania z DP 3525S do km 2+386 i przebudowa na odcinku od km 1+966 do km 1+589</t>
  </si>
  <si>
    <t>Przebudowa drogi powiatowej Nr 2985S ul. Powstańców Śląskich w Pyskowicach</t>
  </si>
  <si>
    <t>Rozbudowa i przebudowa drogi powiatowej Nr 2982 S ul. Szpitalna w Knurowie</t>
  </si>
  <si>
    <t>Przebudowa drogi powiatowej nr 1726S i 1730S na odcinku od skrzyżowania ulicy Leśnej z ulicą Piłsudskiego (rondo) do drogi krajowej nr 78 w miejscowości Zawiercie - Kromołów</t>
  </si>
  <si>
    <t>Przebudowa drogi powiatowej 5024S (ul. Traugutta) w Pszowie</t>
  </si>
  <si>
    <t>Rozbudowa drogi powiatowej 2621 S - ul. Długiej w Hażlachu na odcinku od lasu Brzezie w kierunku centrum Hażlacha (do istniejącego chodnika)</t>
  </si>
  <si>
    <t>Przebudowa drogi powiatowej nr 4453 S ul. Prusa w Czechowicach-Dziedzicach wraz z rozbudową skrzyżowania z drogą gminną nr 350012 S (ul. Barlickiego)</t>
  </si>
  <si>
    <t>Przebudowa drogi powiatowej nr 1765S od km 0+000 - skrzyżowanie ul. 17-go Stycznia z drogą wojewódzką 794 w Pilicy do km 4+560 w Kocikowej oraz od km 4+560 do km 5+505 w Kocikowej</t>
  </si>
  <si>
    <t>Rozbudowa ul. Powstańców Śląskich w Tarnowskich Górach</t>
  </si>
  <si>
    <t>Przebudowa drogi powiatowej nr 3804 S na odcinku Myszków ul. Pińczycka do Stara Huta ul. Myszkowska</t>
  </si>
  <si>
    <t>Przebudowa odcinka drogi powiatowej nr 1455 S Pietrzykowice - Lipowa - Ostre - Twardorzeczka - Leśna w km od 4+774 do km 6+071 w miejscowości Lipowa</t>
  </si>
  <si>
    <t>Remont drogi powiatowej 2602 S Skoczów - Brenna (ul. Górecka w Brennej) na odc. ok. 1 km</t>
  </si>
  <si>
    <t>Przebudowa ulicy Korczaka w Częstochowie</t>
  </si>
  <si>
    <t>Przebudowa ul. 3 Maja w Mysłowicach od ul. Laryskiej do ul. Dzierżonia i Orła Białego</t>
  </si>
  <si>
    <t>Przebudowa drogi powiatowej nr 5024S (ul. Bohaterów Warszawy) w Rydułtowach wraz z remontem chodnika</t>
  </si>
  <si>
    <t>Przebudowa drogi powiatowej 5923S, ul. Dzikowej w Lędzinach w km od 2+534 do 2+927</t>
  </si>
  <si>
    <t>K</t>
  </si>
  <si>
    <t>POWIAT CZĘSTOCHOWSKI</t>
  </si>
  <si>
    <t>MIASTO ZABRZE</t>
  </si>
  <si>
    <t>MIASTO CZĘSTOCHOWA</t>
  </si>
  <si>
    <t>POWIAT MIKOŁOWSKI</t>
  </si>
  <si>
    <t>MIASTO CHORZÓW</t>
  </si>
  <si>
    <t>Rozbudowa drogi powiatowej 2602S - ul. Góreckiej w Skoczowie na odcinku ok. 1,2 km (od przejazdu kolejowego do drogi ekspresowej S52) z rozbiórką mostu nad Bajerką i budową nowego obiektu inżynierskiego</t>
  </si>
  <si>
    <t>Przebudowa ciągu dróg powiatowych nr 1070 S Kłomnice-Kruszyna, nr 1025 S Kruszyna-Borowno i nr 1019 S Borowno-Witkowice, gmina Kłomnice, Kruszyna i Mykanów</t>
  </si>
  <si>
    <t>Rozbudowa skrzyżowania ul. Roosevelta z ul. Piłsudskiego - budowa ronda, przebudowa ulicy Piłsudskiego od skrzyżowania z ul. Roosevelta do wiaduktu kolejowego, budowa doświetlenia przejścia dla pieszych w ciągu ul. 3-go Maja na wysokości ul. Lutra, Padlewskiego, Floriana, Bohaterów Warszawskich, Sądowej, Franklina Roosevelta</t>
  </si>
  <si>
    <t>Przebudowa ul. Laryskiej w Mysłowicach - I etap</t>
  </si>
  <si>
    <t xml:space="preserve">Przebudowa drogi powiatowej nr 1415 S od km 8+216 do km 8+546 wraz z budową chodnika i kanalizacji deszczowej od km 8+471 do km 9+411 (ul. Jasnogórska) w miejscowości Ślemień, gmina Ślemień </t>
  </si>
  <si>
    <t>Przebudowa ciągu dróg powiatowych nr 1057 S na odc. Huta Stara A - Poczesna i nr 1056 S na odc. Mazury - Młynek, gmina Poczesna</t>
  </si>
  <si>
    <t xml:space="preserve">Przebudowa ulicy Łódzkiej w Częstochowie </t>
  </si>
  <si>
    <t>Przebudowa drogi powiatowej nr 1012 S na odcinku ok. 1000,0 od m. Gęzyn gmina Poraj w kierunku m. Koziegłowy, na odcinku o długości 950,0 m od ul. Jasnej w Poraju oraz przebudowa mostu nad rz. Warta w ciągu DP 1012S w m. Poraj ul. Jastrzębska</t>
  </si>
  <si>
    <t>Przebudowa ul. 11 Listopada 6801 S wraz ze skrzyżowaniem z ul. Grunwaldzką 6801 S oraz budową łącznika do DK79 w Jaworznie</t>
  </si>
  <si>
    <t>Budowa ścieżki rowerowej na odcinku Laryszów - Miedary (nr drogi 3218S) w gminie Zbrosławice</t>
  </si>
  <si>
    <t>Przebudowa ul. Żorskiej w Orzeszu - etap II</t>
  </si>
  <si>
    <t>Przebudowa drogi powiatowej nr 2311 S na odcinku 2 430 m od ronda w m. Mzyki do DW789</t>
  </si>
  <si>
    <t>Przebudowa ulicy 3 Maja w Chorzowie</t>
  </si>
  <si>
    <t>Przebudowa drogi powiatowej nr 1715 S w m. Myszków (Nierada) w km 0+043,57 do km 0+537,00 łącznie z robotami na przepuście i przebudową mostu</t>
  </si>
  <si>
    <t>Budowa południowej części obwodnicy miasta, rozbudowa układu drogowego pomiędzy ul. Bojkowską i ul. Pszczyńską w Gliwicach wraz z infrastrukturą towarzyszącą. Etap II</t>
  </si>
  <si>
    <t>B</t>
  </si>
  <si>
    <t>październik 2019 - listopad 2020</t>
  </si>
  <si>
    <t>P</t>
  </si>
  <si>
    <t>wrzesień 2019 - sierpień 2022</t>
  </si>
  <si>
    <t>BP</t>
  </si>
  <si>
    <t>styczeń 2019 - październik 2020</t>
  </si>
  <si>
    <t>październik 2019 - lipiec 2021</t>
  </si>
  <si>
    <t>wrzesień 2019 - październik 2020</t>
  </si>
  <si>
    <t>sierpień 2019 - sierpień 2022</t>
  </si>
  <si>
    <t>kwiecień 2019 - lipiec 2020</t>
  </si>
  <si>
    <t>lipiec 2019 - listopad 2020</t>
  </si>
  <si>
    <t>czerwiec 2019 - październik 2020</t>
  </si>
  <si>
    <t>sierpień 2019 - listopad 2020</t>
  </si>
  <si>
    <t>wrzesień 2019 - październik 2021</t>
  </si>
  <si>
    <t>sierpień 2019 - czerwiec 2022</t>
  </si>
  <si>
    <t xml:space="preserve">B                </t>
  </si>
  <si>
    <t>GMINA ZAWIERCIE</t>
  </si>
  <si>
    <t>MIASTO SIEMIANOWICE ŚLĄSKIE</t>
  </si>
  <si>
    <t>GMINA WĘGIERSKA GÓRKA</t>
  </si>
  <si>
    <t>GMINA TARNOWSKIE GÓRY</t>
  </si>
  <si>
    <t>GMINA PSZÓW</t>
  </si>
  <si>
    <t xml:space="preserve">GMINA ISTEBNA </t>
  </si>
  <si>
    <t>GMINA PANKI</t>
  </si>
  <si>
    <t>GMINA KRZEPICE</t>
  </si>
  <si>
    <t>GMINA PRZYSTAJŃ</t>
  </si>
  <si>
    <t>GMINA ŁODYGOWICE</t>
  </si>
  <si>
    <t>MIASTO BYTOM</t>
  </si>
  <si>
    <t>GMINA SKOCZÓW</t>
  </si>
  <si>
    <t>GMINA BORONÓW</t>
  </si>
  <si>
    <t>GMINA MSZANA</t>
  </si>
  <si>
    <t>GMINA HAŻLACH</t>
  </si>
  <si>
    <t>GMINA BIERUŃ</t>
  </si>
  <si>
    <t>GMINA GORZYCE</t>
  </si>
  <si>
    <t>GMINA KOCHANOWICE</t>
  </si>
  <si>
    <t>GMINA KONIECPOL</t>
  </si>
  <si>
    <t>GMINA MSTÓW</t>
  </si>
  <si>
    <t>GMINA OPATÓW</t>
  </si>
  <si>
    <t>GMINA RADZIONKÓW</t>
  </si>
  <si>
    <t>GMINA KNURÓW</t>
  </si>
  <si>
    <t>GMINA WIELOWIEŚ</t>
  </si>
  <si>
    <t>GMINA RACIBÓRZ</t>
  </si>
  <si>
    <t>GMINA JANÓW</t>
  </si>
  <si>
    <t>GMINA BUCZKOWICE</t>
  </si>
  <si>
    <t>GMINA BOBROWNIKI</t>
  </si>
  <si>
    <t>GMINA PILCHOWICE</t>
  </si>
  <si>
    <t>GMINA STRUMIEŃ</t>
  </si>
  <si>
    <t>GMINA RADZIECHOWY-WIEPRZ</t>
  </si>
  <si>
    <t>GMINA NIEGOWA</t>
  </si>
  <si>
    <t>GMINA MIEDŹNO</t>
  </si>
  <si>
    <t>GMINA ŚWIERKLANY</t>
  </si>
  <si>
    <t>GMINA WOJKOWICE</t>
  </si>
  <si>
    <t>GMINA ORZESZE</t>
  </si>
  <si>
    <t>GMINA POCZESNA</t>
  </si>
  <si>
    <t>GMINA OGRODZIENIEC</t>
  </si>
  <si>
    <t>GMINA LUBLINIEC</t>
  </si>
  <si>
    <t>298/19</t>
  </si>
  <si>
    <t>338/19</t>
  </si>
  <si>
    <t>263/19</t>
  </si>
  <si>
    <t>259/19</t>
  </si>
  <si>
    <t>246/19</t>
  </si>
  <si>
    <t>269/19</t>
  </si>
  <si>
    <t>304/19</t>
  </si>
  <si>
    <t>323/19</t>
  </si>
  <si>
    <t>215/19</t>
  </si>
  <si>
    <t>244/19</t>
  </si>
  <si>
    <t>292/19</t>
  </si>
  <si>
    <t>327/19</t>
  </si>
  <si>
    <t>233/19</t>
  </si>
  <si>
    <t>260/19</t>
  </si>
  <si>
    <t>253/19</t>
  </si>
  <si>
    <t>314/19</t>
  </si>
  <si>
    <t>265/19</t>
  </si>
  <si>
    <t>211/19</t>
  </si>
  <si>
    <t>291/19</t>
  </si>
  <si>
    <t>339/19</t>
  </si>
  <si>
    <t>318/19</t>
  </si>
  <si>
    <t>229/19</t>
  </si>
  <si>
    <t>261/19</t>
  </si>
  <si>
    <t>295/19</t>
  </si>
  <si>
    <t>247/19</t>
  </si>
  <si>
    <t>256/19</t>
  </si>
  <si>
    <t>303/19</t>
  </si>
  <si>
    <t>208/19</t>
  </si>
  <si>
    <t>334/19</t>
  </si>
  <si>
    <t>241/19</t>
  </si>
  <si>
    <t>201/19</t>
  </si>
  <si>
    <t>282/19</t>
  </si>
  <si>
    <t>299/19</t>
  </si>
  <si>
    <t>272/19</t>
  </si>
  <si>
    <t>315/19</t>
  </si>
  <si>
    <t>335/19</t>
  </si>
  <si>
    <t>213/19</t>
  </si>
  <si>
    <t>216/19</t>
  </si>
  <si>
    <t>230/19</t>
  </si>
  <si>
    <t>235/19</t>
  </si>
  <si>
    <t>203/19</t>
  </si>
  <si>
    <t>305/19</t>
  </si>
  <si>
    <t>312/19</t>
  </si>
  <si>
    <t>311/19</t>
  </si>
  <si>
    <t>337/19</t>
  </si>
  <si>
    <t>296/19</t>
  </si>
  <si>
    <t>325/19</t>
  </si>
  <si>
    <t>281/19</t>
  </si>
  <si>
    <t>234/19</t>
  </si>
  <si>
    <t>Budowa drogi do Strefy Aktywności Gospodarczej w Zawierciu - Etap IV - odcinek od km. 4+983,50, rondo na skrzyżowaniu z DW 796</t>
  </si>
  <si>
    <t>Budowa drogi gminnej łączącej ul. Konopnickiej i ul. Matejki z ul. Stara Katowicka w Siemianowicach Śląskich</t>
  </si>
  <si>
    <t xml:space="preserve">Przebudowa drogi gminnej nr 596054S w Węgierskiej Górce poprawiającej skomunikowanie dróg powiatowych </t>
  </si>
  <si>
    <t>Rozbudowa ulic Sobieskiego i Opolskiej w Tarnowskich Górach</t>
  </si>
  <si>
    <t>Remont ulicy Żużlowej w Pszowie</t>
  </si>
  <si>
    <t>Rozbudowa drogi wewnętrznej Zaolzie w Istebnej - etap 2</t>
  </si>
  <si>
    <t>Budowa dróg gminnych nr 639025S ul. Prusa i nr 639021S ul. Orzeszkowej w Krzepicach</t>
  </si>
  <si>
    <t>Przebudowa drogi gminnej nr 678 002 S w miejscowości Kuźnica Stara</t>
  </si>
  <si>
    <t>Remont ul. Turystycznej w Biernej i Zarzeczu (Gmina Łodygowice)</t>
  </si>
  <si>
    <t>Przebudowa ulicy Narutowicza w Bytomiu</t>
  </si>
  <si>
    <t>Remont drogi gminnej ul. Żebroka w Skoczowie</t>
  </si>
  <si>
    <t xml:space="preserve">Budowa i odwodnienie ulicy Wiśniowej </t>
  </si>
  <si>
    <t>Przebudowa dróg gminnych ul. Ks.Tuskera (nr 663003S) i ul. Mickiewicza (nr 663001S) w miejscowości Mszana wraz z przebudową skrzyżowania z drogą powiatową 5021S - ul. 1 Maja</t>
  </si>
  <si>
    <t>Przebudowa dróg gminnych - ulic Truskawkowej, Miodowej i Prostej w Kończycach Wielkich</t>
  </si>
  <si>
    <t>Budowa bocznych dróg ul. Barańcowej w Bieruniu - ul. Stanisława Ligonia i ul. Józefa Lompy</t>
  </si>
  <si>
    <t>Przebudowa drogi gminnej ul. Bełsznickiej w Czyżowicach</t>
  </si>
  <si>
    <t>Przebudowa ul. Słonecznej w Kochanowicach</t>
  </si>
  <si>
    <t>Przebudowa drogi do budynków 105 a, b, e przy ul. Siemianowickiej</t>
  </si>
  <si>
    <t>Przebudowa ulicy Wąskiej w Koniecpolu</t>
  </si>
  <si>
    <t>Przebudowa drogi w ulicy Ośmiu Błogosławieństw w miejscowości Siedlec, Gmina Mstów</t>
  </si>
  <si>
    <t>Przebudowa odcinka drogi gminnej nr 664 001S - ul. Szkolna w miejscowości Waleńczów, gmina Opatów</t>
  </si>
  <si>
    <t>Przebudowa ul. Gajdasa w Radzionkowie</t>
  </si>
  <si>
    <t>Przebudowa ul. Aleja Lipowa w Knurowie - I Etap</t>
  </si>
  <si>
    <t>Przebudowa drogi gminnej nr 673 021 S- ul. Parkowa w miejscowości Świbie</t>
  </si>
  <si>
    <t>Przebudowa ul. Czarnieckiego na odcinku projektowanej jezdni o długości 189 mb oraz przebudowa drogi - łącznik ul. Anny i Starowiejskiej na odcinku projektowanej jezdni o długości 303 mb</t>
  </si>
  <si>
    <t>Przebudowa drogi gminnej nr DG 677007S Hucisko-gmina Janów</t>
  </si>
  <si>
    <t>Budowa mostu w ul. Topolowej z przylegającym odcinkiem drogi w Rybarzowicach oraz przebudowa ul. Rybarskiej w Godziszce i w Rybarzowicach</t>
  </si>
  <si>
    <t>Przebudowa drogi na ul. Słonecznej w Sączowie</t>
  </si>
  <si>
    <t>Przebudowa drogi gminnej ul. Wysokiej w Wilczy</t>
  </si>
  <si>
    <t>Przebudowa drogi gminnej nr 611026S ulicy Zielonej w Strumieniu</t>
  </si>
  <si>
    <t>Przebudowa drogi na Prawy Groń w miejscowości Brzuśnik, dz. nr 695</t>
  </si>
  <si>
    <t>Przebudowa ulicy gminnej Technologicznej w zakresie budowy chodnika i poszerzenia jezdni drogowej wraz z przebudową odwodnienia i przepustu oraz przebudową sieci oświetleniowej, wodociągowej i teletechnicznej oraz Remont kapitalny chodnika w ulicy Kresowej w Zawierciu (chodnik po stronie budynków z numerami nieparzystymi) odcinek od ul. Miodowej do ul. Uskok</t>
  </si>
  <si>
    <t>Budowa drogi z odwodnieniem w kompleksie mieszkaniowym przy ulicy Bażantów w Bobrownikach</t>
  </si>
  <si>
    <t>Przebudowa drogi wewnętrznej ul. Węglowej w miejscowości Bieruń</t>
  </si>
  <si>
    <t>Rozbudowa odcinka drogi gminnej nr 680037S ul. Ogrodowa z oświetleniem ulicznym i drogi gminnej nr 680036S ul. Topolowa wraz z zatoką postojową i autobusową z oświetleniem ulicznym w miejscowości Niegowa</t>
  </si>
  <si>
    <t>Rozbudowa drogi gminnej nr 656010S - ul. Gen. Juliana Filipowicza w miejscowości Miedźno, gm. Miedźno</t>
  </si>
  <si>
    <t>Przebudowa drogi gminnej nr 678 045 S w miejscowości Kamińsko</t>
  </si>
  <si>
    <t>Przebudowa odcinka drogi gminnej nr 664 012S - ul. Nadrzeczna w miejscowości Opatów, gmina Opatów</t>
  </si>
  <si>
    <t>Przebudowa ul. Sportowej w Lisowie</t>
  </si>
  <si>
    <t>Przebudowa i budowa drogi gminnej w Rudnikach ul. Wodnica - 638039 S</t>
  </si>
  <si>
    <t>Przebudowa drogi nr 693 023S - ul. Dworcowa w Pankach</t>
  </si>
  <si>
    <t>Przebudowa ul. Rybnickiej w Jankowicach</t>
  </si>
  <si>
    <t>Przebudowa ulicy Okrzei w Mysłowicach</t>
  </si>
  <si>
    <t>Przebudowa ul. Brzeziny (drogi gminnej 634001S) w Wojkowicach, przebudowa zjazdów, budowa chodnika i kanalizacji deszczowej</t>
  </si>
  <si>
    <t>Przebudowa ul. Orzeszkowej w Orzeszu-Woszczycach</t>
  </si>
  <si>
    <t>Przebudowa drogi gminnej ulicy Jodłowej w Brzezinach Kolonii, gm. Poczesna</t>
  </si>
  <si>
    <t>Przebudowa dróg gminnych Mostowa, Kopernika, Szkolna w Ogrodzieńcu w celu poprawy dostępności do centrum administracyjno-kulturalno-oświatowego</t>
  </si>
  <si>
    <t>Przebudowa drogi gminnej ul. Kochanowskiego nr 440 049 S w Lublińcu</t>
  </si>
  <si>
    <t>13/19</t>
  </si>
  <si>
    <t>181/19</t>
  </si>
  <si>
    <t>176/19</t>
  </si>
  <si>
    <t>133/19</t>
  </si>
  <si>
    <t>21/19</t>
  </si>
  <si>
    <t>70/19</t>
  </si>
  <si>
    <t>153/19</t>
  </si>
  <si>
    <t>91/19</t>
  </si>
  <si>
    <t>82/19</t>
  </si>
  <si>
    <t>179/19</t>
  </si>
  <si>
    <t>90/19</t>
  </si>
  <si>
    <t>145/19</t>
  </si>
  <si>
    <t>80/19</t>
  </si>
  <si>
    <t>72/19</t>
  </si>
  <si>
    <t>79/19</t>
  </si>
  <si>
    <t>167/19</t>
  </si>
  <si>
    <t>47/19</t>
  </si>
  <si>
    <t>GMINA MIKOŁÓW</t>
  </si>
  <si>
    <t>mikołowski</t>
  </si>
  <si>
    <t>System transportu niskoemisyjnego - przebudowa węzła ulic Prusa - Miarki w kierunku Rybnicka, Wyzwolenia w Mikołowie</t>
  </si>
  <si>
    <t>październik 2019 - czerwiec 2021</t>
  </si>
  <si>
    <t>kłobucki</t>
  </si>
  <si>
    <t>Rozbudowa drogi gminnej nr 656026S ul. Dębowa, nr 656026S ul. Sosnowa, nr 656025S ul. Ogrodowa, nr 656025S ul. Polna w miejscowości Miedźno</t>
  </si>
  <si>
    <t>wrzesień 2019 - czerwiec 2022</t>
  </si>
  <si>
    <t>GMINA RYDUŁTOWY</t>
  </si>
  <si>
    <t>wodzisławski</t>
  </si>
  <si>
    <t>Rozbudowa ulicy Ofiar Terroru (460076S) wraz z przebudową ulicy Adama Mickiewicza (460001S) oraz przebudowa ulicy Świętego Jacka (460115S) w Rydułtowach</t>
  </si>
  <si>
    <t>marzec 2019 - czerwiec 2021</t>
  </si>
  <si>
    <t>GMINA GODÓW</t>
  </si>
  <si>
    <t>Przebudowa dróg gminnych w jednym ciągu nr 605 019S, 605 023S ul. Graniczna i Poprzeczna w Gminie Godów (sołectwa Skrbeńsko i Gołkowice) o łącznej długości 1758 mb.</t>
  </si>
  <si>
    <t>październik 2019 - listopad 2021</t>
  </si>
  <si>
    <t>GMINA PORĄBKA</t>
  </si>
  <si>
    <t>bielski</t>
  </si>
  <si>
    <t>Przebudowa drogi gminnej publicznej nr 594 273 S ul. Szkolna w Bujakowie wraz z budową chodnika dla pieszych - etap 2 w km od 0+241 do km 0+663</t>
  </si>
  <si>
    <t>październik 2019 - listopad 2022</t>
  </si>
  <si>
    <t>zawierciański</t>
  </si>
  <si>
    <t>Przebudowa odcinka ulicy Polskiej od skrzyżowania z ulicą Łośnicką oraz remont kapitalny chodników na odcinku od skrzyżowania z ul. Przechodnią do skrzyżowania z ul. Sienkiewicza</t>
  </si>
  <si>
    <t>raciborski</t>
  </si>
  <si>
    <t>Przebudowa ul. Bojanowskiej - drogi publicznej nr 290 013 S na odcinku o długości 0,79 km oraz budowa nawierzchni drogi gminnej - ul. Chorwacka - etap I o długości projektowanej jezdni 0,53 km</t>
  </si>
  <si>
    <t>czerwiec 2019 - październik 2021</t>
  </si>
  <si>
    <t>Przebudowa odcinka drogi gminnej publicznej nr 594142S ul. Zielona w Czańcu od km 0+000 do km 0+946</t>
  </si>
  <si>
    <t>Częstochowa</t>
  </si>
  <si>
    <t>Rozbudowa ul. Artyleryjskiej i ul. Kościelnej w Częstochowie na odcinku od ul. Matejki do przedłużenia ulicy Jagiellońskiej do ul. Kościelnej</t>
  </si>
  <si>
    <t>czerwiec 2019 - listopad 2020</t>
  </si>
  <si>
    <t>Przebudowa jezdni wraz z chodnikiem ulicy Wyszyńskiego w Zawierciu - odcinek "A" od skrzyżowania z drogą powiatową ul. 3-go Maja km 0+000,00 do km 0+518,10</t>
  </si>
  <si>
    <t>GMINA MYSZKÓW</t>
  </si>
  <si>
    <t>myszkowski</t>
  </si>
  <si>
    <t>Budowa drogi w ul. Klonowej i Sadowej wraz z kanalizacją deszczową i sanitarną oraz przebudowa oświetlenia ulicznego w Myszkowie na odcinku 1098 mb</t>
  </si>
  <si>
    <t>luty 2019 - październik 2020</t>
  </si>
  <si>
    <t>Przebudowa drogi gminnej nr 510168S ulicy Wiejskiej w Bełsznicy na dł. 223 m.</t>
  </si>
  <si>
    <t>wrzesień 2019 - wrzesień 2020</t>
  </si>
  <si>
    <t>GMINA LYSKI</t>
  </si>
  <si>
    <t>rybnicki</t>
  </si>
  <si>
    <t>Przebudowa drogi gminnej ulicy Jankowickiej w Zwonowicach</t>
  </si>
  <si>
    <t>październik 2019 - październik 2021</t>
  </si>
  <si>
    <t>GMINA MIASTECZKO ŚLĄSKIE</t>
  </si>
  <si>
    <t>tarnogórski</t>
  </si>
  <si>
    <t>Budowa ulicy Ceramicznej w Miasteczku Śląskim</t>
  </si>
  <si>
    <t>GMINA SIEWIERZ</t>
  </si>
  <si>
    <t>będziński</t>
  </si>
  <si>
    <t>Budowa drogi gminnej dojazdowej łączącej ul. Parkową z ul. Polną w Siewierzu</t>
  </si>
  <si>
    <t>MIASTO GLIWICE</t>
  </si>
  <si>
    <t>Gliwice</t>
  </si>
  <si>
    <t>Budowa ul. Kozłowskiej w Gliwicach (od istniejącej ul. Kozłowskiej o nawierzchni asfaltobetonowej do cieku wodnego)</t>
  </si>
  <si>
    <t>GMINA CZECHOWICE-DZIEDZICE</t>
  </si>
  <si>
    <t>Przebudowa ul. Asnyka w Czechowicach-Dziedzicach</t>
  </si>
  <si>
    <t>sierpień 2019 - wrzesień 2020</t>
  </si>
  <si>
    <t>277/19</t>
  </si>
  <si>
    <t>Budowa drogi publicznej gminnej na południe od ul. Handlowej wraz ze ścieżką rowerową, chodnikiem, zjazdami do posesji, budowa skrzyżowania typu rondo z ulicami Pyskowicką i Magazynową</t>
  </si>
  <si>
    <t>Zabrze</t>
  </si>
  <si>
    <t>332/19</t>
  </si>
  <si>
    <t>236/19</t>
  </si>
  <si>
    <t>307/19</t>
  </si>
  <si>
    <t>202/19</t>
  </si>
  <si>
    <t>220/19</t>
  </si>
  <si>
    <t>251/19</t>
  </si>
  <si>
    <t>302/19</t>
  </si>
  <si>
    <t>308/19</t>
  </si>
  <si>
    <t>MIASTO ŻORY</t>
  </si>
  <si>
    <t>322/19</t>
  </si>
  <si>
    <t>Budowa dróg na terenach po KWK 1 Maja i remont dróg gminnych obejmujących ulice: Tysiąclecia, M. Dąbrowskiej, J. Chełmońskiego w Wodzisławiu Śląskim</t>
  </si>
  <si>
    <t>Budowa drogi łączącej ulicę Borowinową z ulicą Zieloną w Goczałkowicach - Zdroju</t>
  </si>
  <si>
    <t>Budowa ciągu komunikacyjnego Scheiblera-Biedermanna-Węglowa w Czeladzi</t>
  </si>
  <si>
    <t>Budowa i przebudowa dróg - ul. Jagodowej i Młyńskiej w Żarkach</t>
  </si>
  <si>
    <t xml:space="preserve">Przebudowa ul. Niewiadomskiej na odcinku od skrzyżowania z ul. Raciborską (DW 935) do granicy miasta </t>
  </si>
  <si>
    <t>Przebudowa drogi ul. Okrężnej w Żorach</t>
  </si>
  <si>
    <t xml:space="preserve">Budowa Obwodnicy Osiedla Piłsudskiego </t>
  </si>
  <si>
    <t>329/19</t>
  </si>
  <si>
    <t>306/19</t>
  </si>
  <si>
    <t>270/19</t>
  </si>
  <si>
    <t>285/19</t>
  </si>
  <si>
    <t>266/19</t>
  </si>
  <si>
    <t>324/19</t>
  </si>
  <si>
    <t>271/19</t>
  </si>
  <si>
    <t>252/19</t>
  </si>
  <si>
    <t>231/19</t>
  </si>
  <si>
    <t>Przebudowa drogi powiatowej nr 3517S w Tworkowie od skrzyżowania z ulicą Zamkową do przejazdu kolejowego oraz remont drogi powiatowej nr 3516S pomiędzy skrzyżowaniami z DK 45 w Tworkowie i przebudowa drogi powiatowej nr 3536S w Górkach Śląskich od skrzyżowania z ul. Rudzką do końca działki drogowej nr 257/3 od strony DW 919</t>
  </si>
  <si>
    <t>Przebudowa ulicy Hajduckiej oraz fragmentu Alei Bojowników o Wolność i Demokrację w Chorzowie</t>
  </si>
  <si>
    <t>Przebudowa ul. Ostrogórskiej na odcinku od skrzyżowania z ul. Jagiellońską do skrzyżowania z ul. 1 Maja w ramach zadania inwestycyjnego "Przebudowa ul. Ostrogórskiej w Sosnowcu"</t>
  </si>
  <si>
    <t>Przebudowa pasa drogowego DP3210S i 3207S ul. Główna w Zendku</t>
  </si>
  <si>
    <t>Przebudowa drogi powiatowej 4722 S - ul. Sielecka w Będzinie</t>
  </si>
  <si>
    <t>Przebudowa drogi powiatowej nr 1037 S na odc. Siedlec - Srocko, gmina Mstów</t>
  </si>
  <si>
    <t>Przebudowa ul. Kukułek w Sosnowcu, droga klasy L, kategoria drogi - droga powiatowa</t>
  </si>
  <si>
    <t>Przebudowa ciągu drogowego nr 5314S Powiat Mikołowski - ul. Rybnicka w Gostyni etap I i III</t>
  </si>
  <si>
    <t>Przebudowa drogi powiatowej nr 2003 S relacji Parzymiechy - Napoleon - Lipie</t>
  </si>
  <si>
    <t>121/19</t>
  </si>
  <si>
    <t>152/19</t>
  </si>
  <si>
    <t>184/19</t>
  </si>
  <si>
    <t>165/19</t>
  </si>
  <si>
    <t>171/19</t>
  </si>
  <si>
    <t>150/19</t>
  </si>
  <si>
    <t>146/19</t>
  </si>
  <si>
    <t>20/19</t>
  </si>
  <si>
    <t>54/19</t>
  </si>
  <si>
    <t>141/19</t>
  </si>
  <si>
    <t>57/19</t>
  </si>
  <si>
    <t>18/19</t>
  </si>
  <si>
    <t>177/19</t>
  </si>
  <si>
    <t>19/19</t>
  </si>
  <si>
    <t>182/19</t>
  </si>
  <si>
    <t>styczeń 2020 - październik 2022</t>
  </si>
  <si>
    <t>czerwiec 2020 - maj 2021</t>
  </si>
  <si>
    <t>kwiecień 2020 - październik 2020</t>
  </si>
  <si>
    <t>czerwiec 2020 - listopad 2020</t>
  </si>
  <si>
    <t>R</t>
  </si>
  <si>
    <t>maj 2020 - październik 2020</t>
  </si>
  <si>
    <t>marzec 2020 - listopad 2020</t>
  </si>
  <si>
    <t>styczeń 2020 - listopad 2020</t>
  </si>
  <si>
    <t>kwiecień 2020 - listopad 2021</t>
  </si>
  <si>
    <t>maj 2020 - kwiecień 2021</t>
  </si>
  <si>
    <t>Siemienowice Śląskie</t>
  </si>
  <si>
    <t>żywiecki</t>
  </si>
  <si>
    <t>cieszyński</t>
  </si>
  <si>
    <t>Bytom</t>
  </si>
  <si>
    <t>lubliniecki</t>
  </si>
  <si>
    <t>bieruńsko-lędziński</t>
  </si>
  <si>
    <t>częstochowski</t>
  </si>
  <si>
    <t>gliwicki</t>
  </si>
  <si>
    <t>Mysłowice</t>
  </si>
  <si>
    <t>pszczyński</t>
  </si>
  <si>
    <t>Rybnik</t>
  </si>
  <si>
    <t>Żory</t>
  </si>
  <si>
    <t>marzec 2020 - październik 2020</t>
  </si>
  <si>
    <t>październik 2020 - wrzesień 2021</t>
  </si>
  <si>
    <t>kwiecień 2020 - listopad 2020</t>
  </si>
  <si>
    <t>styczeń 2020 - grudzień 2022</t>
  </si>
  <si>
    <t>styczeń 2020 - listopada 2020</t>
  </si>
  <si>
    <t>lipiec 2020 - czerwiec 2021</t>
  </si>
  <si>
    <t>marzec 2020 - wrzesień 2020</t>
  </si>
  <si>
    <t>kwiecień 2020 - grudzień 2021</t>
  </si>
  <si>
    <t>luty 2020 - październik 2020</t>
  </si>
  <si>
    <t>styczeń 2020 - czerwiec 2020</t>
  </si>
  <si>
    <t>kwiecień 2020 - wrzesień 2020</t>
  </si>
  <si>
    <t>lipiec 2020 - październik 2020</t>
  </si>
  <si>
    <t>lipiec 2020 -październik 2020</t>
  </si>
  <si>
    <t>kwiecień 2020 - lipiec 2021</t>
  </si>
  <si>
    <t>lipiec 2020 - listopad 2020</t>
  </si>
  <si>
    <t>październik 2020 - listopad 2022</t>
  </si>
  <si>
    <t>sierpień 2020 - lipiec 2021</t>
  </si>
  <si>
    <t>wrzesień 2020 - sierpień 2021</t>
  </si>
  <si>
    <t>powiat będziński</t>
  </si>
  <si>
    <t>powiat bielski</t>
  </si>
  <si>
    <t>powiat bieruńsko-lędziński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</si>
  <si>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</si>
  <si>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</si>
  <si>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</si>
  <si>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</si>
  <si>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</si>
  <si>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</si>
  <si>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</si>
  <si>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</si>
  <si>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</si>
  <si>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</si>
  <si>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</si>
  <si>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wodzisławski</t>
  </si>
  <si>
    <t>powiat zawierciański</t>
  </si>
  <si>
    <t>powiat żywiecki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</si>
  <si>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</si>
  <si>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</si>
  <si>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</si>
  <si>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</si>
  <si>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</si>
  <si>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</si>
  <si>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</si>
  <si>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</si>
  <si>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</si>
  <si>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</si>
  <si>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</si>
  <si>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</si>
  <si>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</si>
  <si>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</si>
  <si>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</si>
  <si>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</si>
  <si>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</si>
  <si>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</si>
  <si>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Bielsko-Biała</t>
  </si>
  <si>
    <t>Chorzów</t>
  </si>
  <si>
    <t>Dąbrowa Górnicza</t>
  </si>
  <si>
    <t>Jastrzębie-Zdrój</t>
  </si>
  <si>
    <t>Jaworzno</t>
  </si>
  <si>
    <t>Piekary Śląskie</t>
  </si>
  <si>
    <t>Ruda Śląska</t>
  </si>
  <si>
    <t>Siemianowice Śląskie</t>
  </si>
  <si>
    <t>Sosnowiec</t>
  </si>
  <si>
    <t>Świętochłowice</t>
  </si>
  <si>
    <t>Tychy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</si>
  <si>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</si>
  <si>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</si>
  <si>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</si>
  <si>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</si>
  <si>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</si>
  <si>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</si>
  <si>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</si>
  <si>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</si>
  <si>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</si>
  <si>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</si>
  <si>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</si>
  <si>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</si>
  <si>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</si>
  <si>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</si>
  <si>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</si>
  <si>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</si>
  <si>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</si>
  <si>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</si>
  <si>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</si>
  <si>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</si>
  <si>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</si>
  <si>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</si>
  <si>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</si>
  <si>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</si>
  <si>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</si>
  <si>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</si>
  <si>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</si>
  <si>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</si>
  <si>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</si>
  <si>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</si>
  <si>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</si>
  <si>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</si>
  <si>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</si>
  <si>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</si>
  <si>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</si>
  <si>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</si>
  <si>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</si>
  <si>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</si>
  <si>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</si>
  <si>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</si>
  <si>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</si>
  <si>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2404122</t>
  </si>
  <si>
    <t>2404132</t>
  </si>
  <si>
    <t>2404142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</si>
  <si>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</si>
  <si>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</si>
  <si>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</si>
  <si>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</si>
  <si>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</si>
  <si>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</si>
  <si>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</si>
  <si>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</si>
  <si>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</si>
  <si>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</si>
  <si>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</si>
  <si>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</si>
  <si>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</si>
  <si>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</si>
  <si>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</si>
  <si>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</si>
  <si>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</si>
  <si>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</si>
  <si>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</si>
  <si>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</si>
  <si>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</si>
  <si>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</si>
  <si>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</si>
  <si>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</si>
  <si>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</si>
  <si>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</si>
  <si>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</si>
  <si>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</si>
  <si>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</si>
  <si>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</si>
  <si>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</si>
  <si>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</si>
  <si>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</si>
  <si>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</si>
  <si>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</si>
  <si>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</si>
  <si>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</si>
  <si>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</si>
  <si>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</si>
  <si>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</si>
  <si>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</si>
  <si>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</si>
  <si>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</si>
  <si>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</si>
  <si>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</si>
  <si>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</si>
  <si>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</si>
  <si>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</si>
  <si>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</si>
  <si>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</si>
  <si>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</si>
  <si>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</si>
  <si>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</si>
  <si>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</si>
  <si>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</si>
  <si>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</si>
  <si>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</si>
  <si>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</si>
  <si>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</si>
  <si>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</si>
  <si>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</si>
  <si>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</si>
  <si>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</si>
  <si>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</si>
  <si>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</si>
  <si>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</si>
  <si>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</si>
  <si>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</si>
  <si>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</si>
  <si>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</si>
  <si>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</si>
  <si>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</si>
  <si>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</si>
  <si>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</si>
  <si>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</si>
  <si>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</si>
  <si>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</si>
  <si>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</si>
  <si>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</si>
  <si>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</si>
  <si>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</si>
  <si>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</si>
  <si>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</si>
  <si>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</si>
  <si>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</si>
  <si>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</si>
  <si>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</si>
  <si>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2416092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</si>
  <si>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</si>
  <si>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</si>
  <si>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</si>
  <si>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</si>
  <si>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</si>
  <si>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</si>
  <si>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</si>
  <si>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</si>
  <si>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</si>
  <si>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</si>
  <si>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</si>
  <si>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</si>
  <si>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</si>
  <si>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</si>
  <si>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</si>
  <si>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</si>
  <si>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gmina Będzin</t>
  </si>
  <si>
    <t>gmina Czeladź</t>
  </si>
  <si>
    <t>gmina Wojkowice</t>
  </si>
  <si>
    <t>gmina Bobrowniki</t>
  </si>
  <si>
    <t>gmina Mierzęcice</t>
  </si>
  <si>
    <t>gmina Psary</t>
  </si>
  <si>
    <t>gmina Siewierz</t>
  </si>
  <si>
    <t>gmina Sławków</t>
  </si>
  <si>
    <t>gmina Szczyrk</t>
  </si>
  <si>
    <t>gmina Bestwina</t>
  </si>
  <si>
    <t>gmina Buczkowice</t>
  </si>
  <si>
    <t>gmina Jasienica</t>
  </si>
  <si>
    <t>gmina Jaworze</t>
  </si>
  <si>
    <t>gmina Kozy</t>
  </si>
  <si>
    <t>gmina Porąbka</t>
  </si>
  <si>
    <t>gmina Wilamowice</t>
  </si>
  <si>
    <t>gmina Wilkowice</t>
  </si>
  <si>
    <t>gmina Cieszyn</t>
  </si>
  <si>
    <t>gmina Ustroń</t>
  </si>
  <si>
    <t>gmina Wisła</t>
  </si>
  <si>
    <t>gmina Brenna</t>
  </si>
  <si>
    <t>gmina Chybie</t>
  </si>
  <si>
    <t>gmina Dębowiec</t>
  </si>
  <si>
    <t>gmina Goleszów</t>
  </si>
  <si>
    <t>gmina Hażlach</t>
  </si>
  <si>
    <t>gmina Istebna</t>
  </si>
  <si>
    <t>gmina Skoczów</t>
  </si>
  <si>
    <t>gmina Strumień</t>
  </si>
  <si>
    <t>gmina Zebrzydowice</t>
  </si>
  <si>
    <t>gmina Blachownia</t>
  </si>
  <si>
    <t>gmina Dąbrowa Zielona</t>
  </si>
  <si>
    <t>gmina Janów</t>
  </si>
  <si>
    <t>gmina Kamienica Polska</t>
  </si>
  <si>
    <t>gmina Kłomnice</t>
  </si>
  <si>
    <t>gmina Koniecpol</t>
  </si>
  <si>
    <t>gmina Konopiska</t>
  </si>
  <si>
    <t>gmina Kruszyna</t>
  </si>
  <si>
    <t>gmina Lelów</t>
  </si>
  <si>
    <t>gmina Mstów</t>
  </si>
  <si>
    <t>gmina Mykanów</t>
  </si>
  <si>
    <t>gmina Olsztyn</t>
  </si>
  <si>
    <t>gmina Poczesna</t>
  </si>
  <si>
    <t>gmina Przyrów</t>
  </si>
  <si>
    <t>gmina Rędziny</t>
  </si>
  <si>
    <t>gmina Starcza</t>
  </si>
  <si>
    <t>gmina Knurów</t>
  </si>
  <si>
    <t>gmina Pyskowice</t>
  </si>
  <si>
    <t>gmina Gierałtowice</t>
  </si>
  <si>
    <t>gmina Pilchowice</t>
  </si>
  <si>
    <t>gmina Rudziniec</t>
  </si>
  <si>
    <t>gmina Sośnicowice</t>
  </si>
  <si>
    <t>gmina Toszek</t>
  </si>
  <si>
    <t>gmina Wielowieś</t>
  </si>
  <si>
    <t>gmina Kłobuck</t>
  </si>
  <si>
    <t>gmina Krzepice</t>
  </si>
  <si>
    <t>gmina Lipie</t>
  </si>
  <si>
    <t>gmina Miedźno</t>
  </si>
  <si>
    <t>gmina Opatów</t>
  </si>
  <si>
    <t>gmina Panki</t>
  </si>
  <si>
    <t>gmina Popów</t>
  </si>
  <si>
    <t>gmina Przystajń</t>
  </si>
  <si>
    <t>gmina Wręczyca Wielka</t>
  </si>
  <si>
    <t>gmina Lubliniec</t>
  </si>
  <si>
    <t>gmina Boronów</t>
  </si>
  <si>
    <t>gmina Ciasna</t>
  </si>
  <si>
    <t>gmina Herby</t>
  </si>
  <si>
    <t>gmina Kochanowice</t>
  </si>
  <si>
    <t>gmina Koszęcin</t>
  </si>
  <si>
    <t>gmina Pawonków</t>
  </si>
  <si>
    <t>gmina Woźniki</t>
  </si>
  <si>
    <t>gmina Łaziska Górne</t>
  </si>
  <si>
    <t>gmina Orzesze</t>
  </si>
  <si>
    <t>gmina Ornontowice</t>
  </si>
  <si>
    <t>gmina Wyry</t>
  </si>
  <si>
    <t>gmina Myszków</t>
  </si>
  <si>
    <t>gmina Koziegłowy</t>
  </si>
  <si>
    <t>gmina Niegowa</t>
  </si>
  <si>
    <t>gmina Poraj</t>
  </si>
  <si>
    <t>gmina Żarki</t>
  </si>
  <si>
    <t>gmina Goczałkowice - Zdrój</t>
  </si>
  <si>
    <t>gmina Kobiór</t>
  </si>
  <si>
    <t>gmina Miedzna</t>
  </si>
  <si>
    <t>gmina Pawłowice</t>
  </si>
  <si>
    <t>gmina Pszczyna</t>
  </si>
  <si>
    <t>gmina Suszec</t>
  </si>
  <si>
    <t>gmina Racibórz</t>
  </si>
  <si>
    <t>gmina Kornowac</t>
  </si>
  <si>
    <t>gmina Krzanowice</t>
  </si>
  <si>
    <t>gmina Krzyżanowice</t>
  </si>
  <si>
    <t>gmina Kuźnia Raciborska</t>
  </si>
  <si>
    <t>gmina Nędza</t>
  </si>
  <si>
    <t>gmina Pietrowice Wielkie</t>
  </si>
  <si>
    <t>gmina Rudnik</t>
  </si>
  <si>
    <t>gmina Czerwionka-Leszczyny</t>
  </si>
  <si>
    <t>gmina Gaszowice</t>
  </si>
  <si>
    <t>gmina Jejkowice</t>
  </si>
  <si>
    <t>gmina Lyski</t>
  </si>
  <si>
    <t>gmina Świerklany</t>
  </si>
  <si>
    <t>gmina Kalety</t>
  </si>
  <si>
    <t>gmina Miasteczko Śląskie</t>
  </si>
  <si>
    <t>gmina Radzionków</t>
  </si>
  <si>
    <t>gmina Tarnowskie Góry</t>
  </si>
  <si>
    <t>gmina Krupski Młyn</t>
  </si>
  <si>
    <t>gmina Ożarowice</t>
  </si>
  <si>
    <t>gmina Świerklaniec</t>
  </si>
  <si>
    <t>gmina Tworóg</t>
  </si>
  <si>
    <t>gmina Zbrosławice</t>
  </si>
  <si>
    <t>gmina Bieruń</t>
  </si>
  <si>
    <t>gmina Imielin</t>
  </si>
  <si>
    <t>gmina Lędziny</t>
  </si>
  <si>
    <t>gmina Bojszowy</t>
  </si>
  <si>
    <t>gmina Chełm Śląski</t>
  </si>
  <si>
    <t>gmina Pszów</t>
  </si>
  <si>
    <t>gmina Radlin</t>
  </si>
  <si>
    <t>gmina Rydułtowy</t>
  </si>
  <si>
    <t>gmina Wodzisław Śląski</t>
  </si>
  <si>
    <t>gmina Godów</t>
  </si>
  <si>
    <t>gmina Gorzyce</t>
  </si>
  <si>
    <t>gmina Lubomia</t>
  </si>
  <si>
    <t>gmina Marklowice</t>
  </si>
  <si>
    <t>gmina Mszana</t>
  </si>
  <si>
    <t>gmina Poręba</t>
  </si>
  <si>
    <t>gmina Zawiercie</t>
  </si>
  <si>
    <t>gmina Irządze</t>
  </si>
  <si>
    <t>gmina Kroczyce</t>
  </si>
  <si>
    <t>gmina Łazy</t>
  </si>
  <si>
    <t>gmina Ogrodzieniec</t>
  </si>
  <si>
    <t>gmina Pilica</t>
  </si>
  <si>
    <t>gmina Szczekociny</t>
  </si>
  <si>
    <t>gmina Włodowice</t>
  </si>
  <si>
    <t>gmina Żarnowiec</t>
  </si>
  <si>
    <t>gmina Żywiec</t>
  </si>
  <si>
    <t>gmina Czernichów</t>
  </si>
  <si>
    <t>gmina Gilowice</t>
  </si>
  <si>
    <t>gmina Jeleśnia</t>
  </si>
  <si>
    <t>gmina Koszarawa</t>
  </si>
  <si>
    <t>gmina Lipowa</t>
  </si>
  <si>
    <t>gmina Łękawica</t>
  </si>
  <si>
    <t>gmina Łodygowice</t>
  </si>
  <si>
    <t>gmina Milówka</t>
  </si>
  <si>
    <t>gmina Radziechowy-Wieprz</t>
  </si>
  <si>
    <t>gmina Rajcza</t>
  </si>
  <si>
    <t>gmina Ślemień</t>
  </si>
  <si>
    <t>gmina Świnna</t>
  </si>
  <si>
    <t>gmina Ujsoły</t>
  </si>
  <si>
    <t>gmina Węgierska Górka</t>
  </si>
  <si>
    <t>gmina Czechowice-Dziedzice</t>
  </si>
  <si>
    <t>gmina Mikołów</t>
  </si>
  <si>
    <t>221/19</t>
  </si>
  <si>
    <t>Remont odcinka drogi powiatowej nr 5614S ulica Wolności w Bełku od skrzyżowania z ulicą Bełkowską do skrzyżowania z ulicą Szymochy</t>
  </si>
  <si>
    <t>GMINA KŁOBUCK</t>
  </si>
  <si>
    <t>Budowa ulicy Złotej w Częstochowie</t>
  </si>
  <si>
    <t>Przebudowa drogi gminnej w Turowie - ul. Południowa, gmina Olsztyn</t>
  </si>
  <si>
    <t>Przebudowa ul. Witomin, Kościuszki, Towarowa, Wrzosowa, Staszica, Szkolna, Stawowa, Łąkowa, Wojska Polskiego oraz budowa drogi Polnej w Ożarowicach</t>
  </si>
  <si>
    <t>Przebudowa odcinka drogi gminnej nr 470 128S w miejscowościach Biała i Kopiec - II etap</t>
  </si>
  <si>
    <t>Budowa ulicy Sosnowej w Szałszy</t>
  </si>
  <si>
    <t>Rozbudowa drogi gminnej nr 686 101S ul. Dolna w Gumnach</t>
  </si>
  <si>
    <t>Przebudowa ul. Roździeńskiego i ul. Wiejskiej w Porębie</t>
  </si>
  <si>
    <t>Rozbudowa skrzyżowania ul. Józefa Lompy, ul. Cieszyńskiej i ul. Mikołaja Kopernika w Bielsku-Białej</t>
  </si>
  <si>
    <t>Budowa dróg oraz infrastruktury towarzyszącej na terenie osiedla mieszkaniowego przy ul. Krasickiego w Myszkowie</t>
  </si>
  <si>
    <t>317/19</t>
  </si>
  <si>
    <t>321/19</t>
  </si>
  <si>
    <t>278/19</t>
  </si>
  <si>
    <t>279/19</t>
  </si>
  <si>
    <t>254/19</t>
  </si>
  <si>
    <t>293/19</t>
  </si>
  <si>
    <t>313/19</t>
  </si>
  <si>
    <t>245/19</t>
  </si>
  <si>
    <t>309/19</t>
  </si>
  <si>
    <t>Budowa dróg gminnych nr 639001S ul. Generała Andersa, nr 639047S ul. Księdza Stasiewicza, nr 639048S ul. Brzozowa i nr 639049S ul. Lipowa w Krzepicach</t>
  </si>
  <si>
    <t>czerwiec 2020 - październik 2021</t>
  </si>
  <si>
    <t>marzec 2020 - sierpień 2020</t>
  </si>
  <si>
    <t>czerwiec 2020 - listopad 2022</t>
  </si>
  <si>
    <t>297/19</t>
  </si>
  <si>
    <t>301/19</t>
  </si>
  <si>
    <t>Przebudowa drogi publicznej nr 672 018S ul. Kalwaria w Jaworzu</t>
  </si>
  <si>
    <t>Przebudowa ulicy Głębokiej, droga gminna nr 390104 S w Cieszynie</t>
  </si>
  <si>
    <t>marzec 2020  - październik 2020</t>
  </si>
  <si>
    <r>
      <t xml:space="preserve">Województwo: </t>
    </r>
    <r>
      <rPr>
        <sz val="10"/>
        <color rgb="FFFF0000"/>
        <rFont val="Times New Roman"/>
        <family val="1"/>
        <charset val="238"/>
      </rPr>
      <t xml:space="preserve"> Śląskie</t>
    </r>
  </si>
  <si>
    <t>RAZEM listy rezerwowe, z tego:</t>
  </si>
  <si>
    <t>RAZEM listy, z tego:</t>
  </si>
  <si>
    <t>Zadanie nowe/wieloletnie [N/W]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</si>
  <si>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rok 2020</t>
    </r>
  </si>
  <si>
    <t>15*</t>
  </si>
  <si>
    <t>POWIAT BIERUŃSKO-LĘDZIŃSKI</t>
  </si>
  <si>
    <t>marzec 2019 - listopad 2020</t>
  </si>
  <si>
    <t>październik 2019 - czerwiec 2022</t>
  </si>
  <si>
    <t>System transportu niskoemisyjnego - przebudowa węzła ulic Prusa - Miarki w kierunku Rybnicka, Wyzwolenia w Mikołowie - część II - etap IV</t>
  </si>
  <si>
    <t>POWIAT RACIBORSKI (zadanie
przeniesione na listę
podstawową)</t>
  </si>
  <si>
    <t>MIASTO CHORZÓW (zadanie
przeniesione na listę
podstawową)</t>
  </si>
  <si>
    <t>MIASTO SOSNOWIEC (zadanie
przeniesione na listę
podstawową)</t>
  </si>
  <si>
    <t>POWIAT TARNOGÓRSKI (zadanie
przeniesione na listę
podstawową)</t>
  </si>
  <si>
    <t>lipiec 2020 - listopad 2021</t>
  </si>
  <si>
    <t>czerwiec 2020 - maj 2022</t>
  </si>
  <si>
    <t>lipiec 2020 - październik 2021</t>
  </si>
  <si>
    <t>lipiec 2020 - kwiecień 2021</t>
  </si>
  <si>
    <t>czerwiec 2020 - grudzień 2020</t>
  </si>
  <si>
    <t>lipiec 2020 - wrzesień 2020</t>
  </si>
  <si>
    <t>czerwiec 2020 - październik 2020</t>
  </si>
  <si>
    <t>maj 2020 - październik 2021</t>
  </si>
  <si>
    <t>czerwiec 2020 - sierpień 2021</t>
  </si>
  <si>
    <t>kwiecień 2020 - czerwiec 2021</t>
  </si>
  <si>
    <t>lipiec 2020 - maj 2021</t>
  </si>
  <si>
    <t>październik 2020-lipiec 2021</t>
  </si>
  <si>
    <t>sierpień 2020 - październik 2022</t>
  </si>
  <si>
    <t>marzec 2020 - lipiec 2021</t>
  </si>
  <si>
    <t>sierpień 2020 - listopad 2021</t>
  </si>
  <si>
    <t>GMINA WODZISŁAW ŚLĄSKI
(rezygnacja beneficjenta z realizacji zadania)</t>
  </si>
  <si>
    <t>GMINA CZELADŹ
(rezygnacja beneficjenta z realizacji zadania)</t>
  </si>
  <si>
    <t>GMINA RĘDZINY
(rezygnacja beneficjenta z realizacji zadania)</t>
  </si>
  <si>
    <t>GMINA HERBY
(rezygnacja beneficjenta z realizacji zadania)</t>
  </si>
  <si>
    <t>czerwiec 2020 - listopad 2021</t>
  </si>
  <si>
    <t>GMINA GOCZAŁKOWICE-ZDRÓJ
 (zadanie przeniesione na listę
podstawową)</t>
  </si>
  <si>
    <t>GMINA MIKOŁÓW
 (zadanie przeniesione na listę
podstawową)</t>
  </si>
  <si>
    <t>MIASTO RYBNIK (zadanie przeniesione na listę
podstawową)</t>
  </si>
  <si>
    <t>czerwiec 2020 - czerwiec 2021</t>
  </si>
  <si>
    <t>MIASTO RYBNIK
 (rezygnacja beneficjenta z realizacji zadania)</t>
  </si>
  <si>
    <t>luty 2020 - grudzień 2020</t>
  </si>
  <si>
    <t>GMINA CZELADŹ
 (zadanie przeniesione na listę
podstawową)</t>
  </si>
  <si>
    <t>GMINA ŻARKI
 (zadanie przeniesione na listę
podstawową)</t>
  </si>
  <si>
    <t>GMINA KRZEPICE
 (zadanie przeniesione na listę
podstawową)</t>
  </si>
  <si>
    <t>POWIAT BĘDZIŃSKI (zadanie
przeniesione na listę
podstawową)</t>
  </si>
  <si>
    <t>POWIAT CZĘSTOCHOWSKI (zadanie
przeniesione na listę
podstawową)</t>
  </si>
  <si>
    <t>grudzień 2020 - czerwiec 2022</t>
  </si>
  <si>
    <t>styczeń 2020 - czerwiec 2021</t>
  </si>
  <si>
    <t>MIASTO CZĘSTOCHOWA 
 (zadanie przeniesione na listę
podstawową)</t>
  </si>
  <si>
    <t>czerwiec 2020 -listopad 2020</t>
  </si>
  <si>
    <t>listopad 2020 - październik 2021</t>
  </si>
  <si>
    <t>lipiec 2020 - listopad 2022</t>
  </si>
  <si>
    <t>POWIAT MIKOŁOWSKI
 (zadanie przeniesione na listę podstawową)</t>
  </si>
  <si>
    <t>* Kwota dofinansowania zmniejszona do limitu dostępnych środków Funduszu Dróg Samorządowych w 2021 r.; zwiększenie dofinansowania możliwe w przypadku wystąpienia oszczędności. W przypadku braku oszczędności w Funduszu, realizacja zadania będzie wymagała zabezpieczenia wkładu własnego wnioskodawcy w większej wysokości.</t>
  </si>
  <si>
    <t>POWIAT KŁOBUCKI
 (zadanie przeniesione na listę podstawową)</t>
  </si>
  <si>
    <t>* Kwota dofinansowania zmniejszona do limitu dostępnych środków Funduszu Dróg Samorządowych w 2021 r; zwiększenie dofinansowania możliwe w przypadku wystąpienia oszczędności. W przypadku braku oszczędności w Funduszu, realizacja zadania będzie wymagała zabezpieczenia wkładu własnego wnioskodawcy w większej wysokości.</t>
  </si>
  <si>
    <t>** Kwota dofinansowania zmniejszona do limitu dostępnych środków Funduszu Dróg Samorządowych 2020 r; zwiększenie dofinansowania możliwe w przypadku wystąpienia oszczędności. W przypadku braku oszczędności w Funduszu, realizacja zadania będzie wymagała zabezpieczenia wkładu własnego wnioskodawcy w większej wysokości.</t>
  </si>
  <si>
    <t>GMINA OLSZTYN
 (zadanie przeniesione na listę podstawową)</t>
  </si>
  <si>
    <t>GMINA OŻAROWICE
(zadanie przeniesione na listę podstawową)</t>
  </si>
  <si>
    <t>POWIAT KŁOBUCKI
 (rezygnacja beneficjenta z realizacji zadania)</t>
  </si>
  <si>
    <t>Budowa drogi nr 693 016S w Praszczykach w Gminie Panki wraz z budową oświetlenia</t>
  </si>
  <si>
    <t>POWIAT RYBNICKI
 (zadanie przeniesione na listę podstawową)</t>
  </si>
  <si>
    <t>GMINA OŻAROWICE
 (rezygnacja beneficjenta z realizacji zadania)</t>
  </si>
  <si>
    <t>GMINA ZBROSŁAWICE
 (zadanie przeniesione na listę
podstawową)</t>
  </si>
  <si>
    <t>POWIAT RYBNICKI 
(zadanie
przeniesione na listę
podstawową)</t>
  </si>
  <si>
    <t>GMINA DĘBOWIEC
 (zadanie przeniesione na listę podstawową)</t>
  </si>
  <si>
    <t>GMINA PORĘBA
(rezygnacja beneficjenta z realizacji zadania)</t>
  </si>
  <si>
    <t>MIASTO BIELSKO-BIAŁA
 (zadanie przeniesione na listę podstawową)</t>
  </si>
  <si>
    <t>POWIAT MIKOŁOWSKI 
 (rezygnacja beneficjenta z realizacji zadania)</t>
  </si>
  <si>
    <t>82*</t>
  </si>
  <si>
    <t>GMINA MYSZKÓW
 (zadanie przeniesione na listę
podstawową)</t>
  </si>
  <si>
    <t>grudzień 2020 - listopad 2021</t>
  </si>
  <si>
    <t>GMINA JAWORZE
 (zadanie przeniesione na listę podstawową)</t>
  </si>
  <si>
    <t>84**</t>
  </si>
  <si>
    <t>GMINA CIESZYN*
 (zadanie przeniesione na listę podstawową)</t>
  </si>
  <si>
    <t>maj 2020 - listopad 2020</t>
  </si>
  <si>
    <t>grudzień 2020 - październik 2021</t>
  </si>
  <si>
    <t>listopad 2020 - wrzesień 2021</t>
  </si>
  <si>
    <t>GMINA DĘBOWIEC
 (rezygnacja beneficjenta z realizacji zadania)</t>
  </si>
  <si>
    <t>GMINA CIESZYN
 (zadanie przeniesione na listę podstawową)</t>
  </si>
  <si>
    <t>** Maksymalna kwota dofinansowania dla zadania wynosi 556415,26 zł. Kwota dofinansowania zmniejszona z uwagi na osiągnięcie ustawowej wartości list rezerwowych. Nie ma możliwości zwiększenia kwoty dofinansowania do poziomu 50% wartości zadania. Realizacja zadania będzie wymagała zabezpieczenia wkładu własnego wnioskodawcy w większej wysokości</t>
  </si>
  <si>
    <t>Lista zmieniona nr 6 zadań rekomendowanych do dofinansowania w ramach Funduszu Dróg Samorządowych - autokorekta</t>
  </si>
  <si>
    <t>ZATWIERDZAM
Dorota Wójtowicz
z up. WOJEWODY ŚLĄSKIEGO
-podpisano cyfrowo-
Katowice, 15 grudnia 2020 r.</t>
  </si>
</sst>
</file>

<file path=xl/styles.xml><?xml version="1.0" encoding="utf-8"?>
<styleSheet xmlns="http://schemas.openxmlformats.org/spreadsheetml/2006/main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[$-F800]dddd\,\ mmmm\ dd\,\ yyyy"/>
    <numFmt numFmtId="168" formatCode="#,##0.0000000000000000000"/>
  </numFmts>
  <fonts count="7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  <charset val="238"/>
    </font>
    <font>
      <sz val="1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color rgb="FF00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sz val="8"/>
      <color rgb="FFFF0000"/>
      <name val="Calibri"/>
      <family val="2"/>
      <charset val="238"/>
      <scheme val="minor"/>
    </font>
    <font>
      <b/>
      <sz val="8"/>
      <color rgb="FFFF0000"/>
      <name val="Arial"/>
      <family val="2"/>
      <charset val="238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5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color rgb="FFC00000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1"/>
      <color rgb="FFC00000"/>
      <name val="Arial"/>
      <family val="2"/>
      <charset val="238"/>
    </font>
    <font>
      <sz val="11"/>
      <color rgb="FFC00000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3" fillId="0" borderId="0"/>
    <xf numFmtId="0" fontId="2" fillId="0" borderId="0"/>
    <xf numFmtId="0" fontId="1" fillId="0" borderId="0"/>
  </cellStyleXfs>
  <cellXfs count="6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wrapText="1"/>
    </xf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2" fillId="0" borderId="0" xfId="0" applyNumberFormat="1" applyFont="1" applyFill="1" applyBorder="1" applyAlignment="1"/>
    <xf numFmtId="4" fontId="12" fillId="0" borderId="0" xfId="0" applyNumberFormat="1" applyFont="1" applyBorder="1" applyAlignment="1"/>
    <xf numFmtId="0" fontId="12" fillId="0" borderId="0" xfId="0" applyFont="1" applyBorder="1"/>
    <xf numFmtId="4" fontId="13" fillId="0" borderId="0" xfId="0" applyNumberFormat="1" applyFont="1" applyFill="1" applyBorder="1" applyAlignment="1"/>
    <xf numFmtId="4" fontId="13" fillId="0" borderId="0" xfId="0" applyNumberFormat="1" applyFont="1" applyBorder="1" applyAlignment="1"/>
    <xf numFmtId="0" fontId="3" fillId="0" borderId="0" xfId="0" applyFont="1"/>
    <xf numFmtId="4" fontId="13" fillId="0" borderId="0" xfId="0" applyNumberFormat="1" applyFont="1" applyFill="1" applyBorder="1" applyAlignment="1">
      <alignment vertical="top"/>
    </xf>
    <xf numFmtId="4" fontId="13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8" fillId="0" borderId="0" xfId="1" applyFont="1" applyFill="1" applyAlignment="1">
      <alignment vertical="center"/>
    </xf>
    <xf numFmtId="0" fontId="17" fillId="0" borderId="0" xfId="1" applyFont="1" applyFill="1" applyAlignment="1">
      <alignment vertical="center"/>
    </xf>
    <xf numFmtId="0" fontId="0" fillId="0" borderId="0" xfId="0" applyFill="1" applyAlignment="1">
      <alignment vertical="center"/>
    </xf>
    <xf numFmtId="4" fontId="12" fillId="0" borderId="0" xfId="0" applyNumberFormat="1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4" fontId="20" fillId="0" borderId="0" xfId="0" applyNumberFormat="1" applyFont="1" applyFill="1" applyAlignment="1">
      <alignment vertical="center"/>
    </xf>
    <xf numFmtId="165" fontId="15" fillId="5" borderId="22" xfId="0" applyNumberFormat="1" applyFont="1" applyFill="1" applyBorder="1" applyAlignment="1">
      <alignment vertical="center"/>
    </xf>
    <xf numFmtId="165" fontId="22" fillId="5" borderId="22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vertical="center" wrapText="1"/>
    </xf>
    <xf numFmtId="49" fontId="24" fillId="0" borderId="1" xfId="0" applyNumberFormat="1" applyFont="1" applyFill="1" applyBorder="1" applyAlignment="1">
      <alignment vertical="center" wrapText="1"/>
    </xf>
    <xf numFmtId="9" fontId="24" fillId="0" borderId="1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4" fontId="9" fillId="0" borderId="2" xfId="0" applyNumberFormat="1" applyFont="1" applyFill="1" applyBorder="1" applyAlignment="1">
      <alignment horizontal="right" vertical="center"/>
    </xf>
    <xf numFmtId="4" fontId="9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right" vertical="center" wrapText="1"/>
    </xf>
    <xf numFmtId="165" fontId="22" fillId="3" borderId="1" xfId="0" applyNumberFormat="1" applyFont="1" applyFill="1" applyBorder="1" applyAlignment="1">
      <alignment vertical="center"/>
    </xf>
    <xf numFmtId="165" fontId="15" fillId="4" borderId="1" xfId="0" applyNumberFormat="1" applyFont="1" applyFill="1" applyBorder="1" applyAlignment="1">
      <alignment vertical="center"/>
    </xf>
    <xf numFmtId="165" fontId="15" fillId="3" borderId="1" xfId="0" applyNumberFormat="1" applyFont="1" applyFill="1" applyBorder="1" applyAlignment="1">
      <alignment vertical="center"/>
    </xf>
    <xf numFmtId="165" fontId="22" fillId="3" borderId="2" xfId="0" applyNumberFormat="1" applyFont="1" applyFill="1" applyBorder="1" applyAlignment="1">
      <alignment vertical="center"/>
    </xf>
    <xf numFmtId="165" fontId="15" fillId="3" borderId="2" xfId="0" applyNumberFormat="1" applyFont="1" applyFill="1" applyBorder="1" applyAlignment="1">
      <alignment vertical="center"/>
    </xf>
    <xf numFmtId="165" fontId="15" fillId="4" borderId="2" xfId="0" applyNumberFormat="1" applyFont="1" applyFill="1" applyBorder="1" applyAlignment="1">
      <alignment vertical="center"/>
    </xf>
    <xf numFmtId="165" fontId="22" fillId="3" borderId="3" xfId="0" applyNumberFormat="1" applyFont="1" applyFill="1" applyBorder="1" applyAlignment="1">
      <alignment vertical="center"/>
    </xf>
    <xf numFmtId="165" fontId="15" fillId="3" borderId="3" xfId="0" applyNumberFormat="1" applyFont="1" applyFill="1" applyBorder="1" applyAlignment="1">
      <alignment vertical="center"/>
    </xf>
    <xf numFmtId="165" fontId="15" fillId="4" borderId="3" xfId="0" applyNumberFormat="1" applyFont="1" applyFill="1" applyBorder="1" applyAlignment="1">
      <alignment vertical="center"/>
    </xf>
    <xf numFmtId="0" fontId="13" fillId="0" borderId="2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165" fontId="15" fillId="5" borderId="26" xfId="0" applyNumberFormat="1" applyFont="1" applyFill="1" applyBorder="1" applyAlignment="1">
      <alignment vertical="center"/>
    </xf>
    <xf numFmtId="0" fontId="15" fillId="0" borderId="28" xfId="0" applyFont="1" applyFill="1" applyBorder="1" applyAlignment="1">
      <alignment vertical="center"/>
    </xf>
    <xf numFmtId="165" fontId="15" fillId="0" borderId="30" xfId="0" applyNumberFormat="1" applyFont="1" applyFill="1" applyBorder="1" applyAlignment="1">
      <alignment vertical="center"/>
    </xf>
    <xf numFmtId="165" fontId="15" fillId="0" borderId="31" xfId="0" applyNumberFormat="1" applyFont="1" applyFill="1" applyBorder="1" applyAlignment="1">
      <alignment vertical="center"/>
    </xf>
    <xf numFmtId="165" fontId="15" fillId="5" borderId="32" xfId="0" applyNumberFormat="1" applyFont="1" applyFill="1" applyBorder="1" applyAlignment="1">
      <alignment vertical="center"/>
    </xf>
    <xf numFmtId="165" fontId="15" fillId="0" borderId="29" xfId="0" applyNumberFormat="1" applyFont="1" applyFill="1" applyBorder="1" applyAlignment="1">
      <alignment vertical="center"/>
    </xf>
    <xf numFmtId="165" fontId="15" fillId="0" borderId="33" xfId="0" applyNumberFormat="1" applyFont="1" applyFill="1" applyBorder="1" applyAlignment="1">
      <alignment vertical="center"/>
    </xf>
    <xf numFmtId="0" fontId="22" fillId="0" borderId="34" xfId="0" applyFont="1" applyFill="1" applyBorder="1" applyAlignment="1">
      <alignment horizontal="left" vertical="center" wrapText="1" indent="2"/>
    </xf>
    <xf numFmtId="0" fontId="15" fillId="0" borderId="34" xfId="0" applyFont="1" applyFill="1" applyBorder="1" applyAlignment="1">
      <alignment horizontal="left" vertical="center" indent="2"/>
    </xf>
    <xf numFmtId="0" fontId="22" fillId="0" borderId="36" xfId="0" applyFont="1" applyFill="1" applyBorder="1" applyAlignment="1">
      <alignment horizontal="left" vertical="center" indent="2"/>
    </xf>
    <xf numFmtId="165" fontId="22" fillId="5" borderId="40" xfId="0" applyNumberFormat="1" applyFont="1" applyFill="1" applyBorder="1" applyAlignment="1">
      <alignment vertical="center"/>
    </xf>
    <xf numFmtId="0" fontId="23" fillId="3" borderId="28" xfId="0" applyFont="1" applyFill="1" applyBorder="1" applyAlignment="1">
      <alignment vertical="center"/>
    </xf>
    <xf numFmtId="165" fontId="23" fillId="3" borderId="30" xfId="0" applyNumberFormat="1" applyFont="1" applyFill="1" applyBorder="1" applyAlignment="1">
      <alignment vertical="center"/>
    </xf>
    <xf numFmtId="165" fontId="23" fillId="3" borderId="31" xfId="0" applyNumberFormat="1" applyFont="1" applyFill="1" applyBorder="1" applyAlignment="1">
      <alignment vertical="center"/>
    </xf>
    <xf numFmtId="165" fontId="23" fillId="5" borderId="32" xfId="0" applyNumberFormat="1" applyFont="1" applyFill="1" applyBorder="1" applyAlignment="1">
      <alignment vertical="center"/>
    </xf>
    <xf numFmtId="165" fontId="23" fillId="3" borderId="29" xfId="0" applyNumberFormat="1" applyFont="1" applyFill="1" applyBorder="1" applyAlignment="1">
      <alignment vertical="center"/>
    </xf>
    <xf numFmtId="165" fontId="23" fillId="3" borderId="33" xfId="0" applyNumberFormat="1" applyFont="1" applyFill="1" applyBorder="1" applyAlignment="1">
      <alignment vertical="center"/>
    </xf>
    <xf numFmtId="0" fontId="22" fillId="3" borderId="34" xfId="0" applyFont="1" applyFill="1" applyBorder="1" applyAlignment="1">
      <alignment horizontal="left" vertical="center" wrapText="1" indent="2"/>
    </xf>
    <xf numFmtId="165" fontId="22" fillId="3" borderId="35" xfId="0" applyNumberFormat="1" applyFont="1" applyFill="1" applyBorder="1" applyAlignment="1">
      <alignment vertical="center"/>
    </xf>
    <xf numFmtId="0" fontId="15" fillId="3" borderId="34" xfId="0" applyFont="1" applyFill="1" applyBorder="1" applyAlignment="1">
      <alignment horizontal="left" vertical="center" indent="2"/>
    </xf>
    <xf numFmtId="165" fontId="15" fillId="3" borderId="35" xfId="0" applyNumberFormat="1" applyFont="1" applyFill="1" applyBorder="1" applyAlignment="1">
      <alignment vertical="center"/>
    </xf>
    <xf numFmtId="0" fontId="22" fillId="3" borderId="36" xfId="0" applyFont="1" applyFill="1" applyBorder="1" applyAlignment="1">
      <alignment horizontal="left" vertical="center" indent="2"/>
    </xf>
    <xf numFmtId="165" fontId="22" fillId="3" borderId="38" xfId="0" applyNumberFormat="1" applyFont="1" applyFill="1" applyBorder="1" applyAlignment="1">
      <alignment vertical="center"/>
    </xf>
    <xf numFmtId="165" fontId="22" fillId="3" borderId="39" xfId="0" applyNumberFormat="1" applyFont="1" applyFill="1" applyBorder="1" applyAlignment="1">
      <alignment vertical="center"/>
    </xf>
    <xf numFmtId="165" fontId="22" fillId="3" borderId="37" xfId="0" applyNumberFormat="1" applyFont="1" applyFill="1" applyBorder="1" applyAlignment="1">
      <alignment vertical="center"/>
    </xf>
    <xf numFmtId="165" fontId="22" fillId="3" borderId="41" xfId="0" applyNumberFormat="1" applyFont="1" applyFill="1" applyBorder="1" applyAlignment="1">
      <alignment vertical="center"/>
    </xf>
    <xf numFmtId="165" fontId="15" fillId="4" borderId="5" xfId="0" applyNumberFormat="1" applyFont="1" applyFill="1" applyBorder="1" applyAlignment="1">
      <alignment vertical="center"/>
    </xf>
    <xf numFmtId="165" fontId="15" fillId="4" borderId="8" xfId="0" applyNumberFormat="1" applyFont="1" applyFill="1" applyBorder="1" applyAlignment="1">
      <alignment vertical="center"/>
    </xf>
    <xf numFmtId="165" fontId="15" fillId="4" borderId="27" xfId="0" applyNumberFormat="1" applyFont="1" applyFill="1" applyBorder="1" applyAlignment="1">
      <alignment vertical="center"/>
    </xf>
    <xf numFmtId="165" fontId="22" fillId="4" borderId="4" xfId="0" applyNumberFormat="1" applyFont="1" applyFill="1" applyBorder="1" applyAlignment="1">
      <alignment vertical="center"/>
    </xf>
    <xf numFmtId="165" fontId="22" fillId="4" borderId="7" xfId="0" applyNumberFormat="1" applyFont="1" applyFill="1" applyBorder="1" applyAlignment="1">
      <alignment vertical="center"/>
    </xf>
    <xf numFmtId="165" fontId="22" fillId="5" borderId="23" xfId="0" applyNumberFormat="1" applyFont="1" applyFill="1" applyBorder="1" applyAlignment="1">
      <alignment vertical="center"/>
    </xf>
    <xf numFmtId="165" fontId="22" fillId="4" borderId="24" xfId="0" applyNumberFormat="1" applyFont="1" applyFill="1" applyBorder="1" applyAlignment="1">
      <alignment vertical="center"/>
    </xf>
    <xf numFmtId="0" fontId="15" fillId="6" borderId="28" xfId="0" applyFont="1" applyFill="1" applyBorder="1" applyAlignment="1">
      <alignment vertical="center"/>
    </xf>
    <xf numFmtId="165" fontId="16" fillId="6" borderId="30" xfId="0" applyNumberFormat="1" applyFont="1" applyFill="1" applyBorder="1" applyAlignment="1">
      <alignment vertical="center"/>
    </xf>
    <xf numFmtId="165" fontId="16" fillId="6" borderId="31" xfId="0" applyNumberFormat="1" applyFont="1" applyFill="1" applyBorder="1" applyAlignment="1">
      <alignment vertical="center"/>
    </xf>
    <xf numFmtId="165" fontId="16" fillId="6" borderId="29" xfId="0" applyNumberFormat="1" applyFont="1" applyFill="1" applyBorder="1" applyAlignment="1">
      <alignment vertical="center"/>
    </xf>
    <xf numFmtId="165" fontId="16" fillId="6" borderId="33" xfId="0" applyNumberFormat="1" applyFont="1" applyFill="1" applyBorder="1" applyAlignment="1">
      <alignment vertical="center"/>
    </xf>
    <xf numFmtId="0" fontId="22" fillId="6" borderId="36" xfId="0" applyFont="1" applyFill="1" applyBorder="1" applyAlignment="1">
      <alignment horizontal="left" vertical="center" indent="2"/>
    </xf>
    <xf numFmtId="165" fontId="22" fillId="6" borderId="38" xfId="0" applyNumberFormat="1" applyFont="1" applyFill="1" applyBorder="1" applyAlignment="1">
      <alignment vertical="center"/>
    </xf>
    <xf numFmtId="9" fontId="24" fillId="0" borderId="1" xfId="5" applyFont="1" applyFill="1" applyBorder="1" applyAlignment="1">
      <alignment vertical="center" wrapText="1"/>
    </xf>
    <xf numFmtId="165" fontId="22" fillId="2" borderId="1" xfId="0" applyNumberFormat="1" applyFont="1" applyFill="1" applyBorder="1" applyAlignment="1">
      <alignment vertical="center"/>
    </xf>
    <xf numFmtId="165" fontId="22" fillId="2" borderId="2" xfId="0" applyNumberFormat="1" applyFont="1" applyFill="1" applyBorder="1" applyAlignment="1">
      <alignment vertical="center"/>
    </xf>
    <xf numFmtId="165" fontId="15" fillId="2" borderId="1" xfId="0" applyNumberFormat="1" applyFont="1" applyFill="1" applyBorder="1" applyAlignment="1">
      <alignment vertical="center"/>
    </xf>
    <xf numFmtId="165" fontId="15" fillId="2" borderId="2" xfId="0" applyNumberFormat="1" applyFont="1" applyFill="1" applyBorder="1" applyAlignment="1">
      <alignment vertical="center"/>
    </xf>
    <xf numFmtId="165" fontId="22" fillId="2" borderId="38" xfId="0" applyNumberFormat="1" applyFont="1" applyFill="1" applyBorder="1" applyAlignment="1">
      <alignment vertical="center"/>
    </xf>
    <xf numFmtId="165" fontId="22" fillId="2" borderId="39" xfId="0" applyNumberFormat="1" applyFont="1" applyFill="1" applyBorder="1" applyAlignment="1">
      <alignment vertical="center"/>
    </xf>
    <xf numFmtId="165" fontId="22" fillId="2" borderId="3" xfId="0" applyNumberFormat="1" applyFont="1" applyFill="1" applyBorder="1" applyAlignment="1">
      <alignment vertical="center"/>
    </xf>
    <xf numFmtId="165" fontId="22" fillId="2" borderId="35" xfId="0" applyNumberFormat="1" applyFont="1" applyFill="1" applyBorder="1" applyAlignment="1">
      <alignment vertical="center"/>
    </xf>
    <xf numFmtId="165" fontId="15" fillId="2" borderId="3" xfId="0" applyNumberFormat="1" applyFont="1" applyFill="1" applyBorder="1" applyAlignment="1">
      <alignment vertical="center"/>
    </xf>
    <xf numFmtId="165" fontId="15" fillId="2" borderId="35" xfId="0" applyNumberFormat="1" applyFont="1" applyFill="1" applyBorder="1" applyAlignment="1">
      <alignment vertical="center"/>
    </xf>
    <xf numFmtId="165" fontId="22" fillId="2" borderId="37" xfId="0" applyNumberFormat="1" applyFont="1" applyFill="1" applyBorder="1" applyAlignment="1">
      <alignment vertical="center"/>
    </xf>
    <xf numFmtId="165" fontId="22" fillId="2" borderId="41" xfId="0" applyNumberFormat="1" applyFont="1" applyFill="1" applyBorder="1" applyAlignment="1">
      <alignment vertical="center"/>
    </xf>
    <xf numFmtId="165" fontId="15" fillId="2" borderId="29" xfId="0" applyNumberFormat="1" applyFont="1" applyFill="1" applyBorder="1" applyAlignment="1">
      <alignment vertical="center"/>
    </xf>
    <xf numFmtId="165" fontId="15" fillId="2" borderId="30" xfId="0" applyNumberFormat="1" applyFont="1" applyFill="1" applyBorder="1" applyAlignment="1">
      <alignment vertical="center"/>
    </xf>
    <xf numFmtId="165" fontId="15" fillId="2" borderId="33" xfId="0" applyNumberFormat="1" applyFont="1" applyFill="1" applyBorder="1" applyAlignment="1">
      <alignment vertical="center"/>
    </xf>
    <xf numFmtId="4" fontId="32" fillId="0" borderId="1" xfId="0" applyNumberFormat="1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7" fillId="0" borderId="30" xfId="0" applyFont="1" applyFill="1" applyBorder="1" applyAlignment="1">
      <alignment horizontal="left" vertical="center" wrapText="1"/>
    </xf>
    <xf numFmtId="0" fontId="27" fillId="0" borderId="30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/>
    </xf>
    <xf numFmtId="4" fontId="32" fillId="0" borderId="2" xfId="0" applyNumberFormat="1" applyFont="1" applyFill="1" applyBorder="1" applyAlignment="1">
      <alignment horizontal="right" vertical="center"/>
    </xf>
    <xf numFmtId="4" fontId="32" fillId="0" borderId="1" xfId="0" applyNumberFormat="1" applyFont="1" applyFill="1" applyBorder="1" applyAlignment="1">
      <alignment horizontal="right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8" fillId="0" borderId="0" xfId="1" applyFont="1" applyFill="1" applyAlignment="1">
      <alignment horizontal="center" vertical="center"/>
    </xf>
    <xf numFmtId="0" fontId="17" fillId="0" borderId="0" xfId="1" applyFont="1" applyFill="1" applyAlignment="1">
      <alignment horizontal="center" vertical="center"/>
    </xf>
    <xf numFmtId="0" fontId="29" fillId="0" borderId="0" xfId="1" applyFont="1" applyFill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 wrapText="1"/>
    </xf>
    <xf numFmtId="4" fontId="32" fillId="0" borderId="1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7" fillId="0" borderId="0" xfId="0" applyFont="1" applyFill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9" fontId="32" fillId="0" borderId="1" xfId="0" applyNumberFormat="1" applyFont="1" applyFill="1" applyBorder="1" applyAlignment="1">
      <alignment horizontal="center" vertical="center"/>
    </xf>
    <xf numFmtId="4" fontId="36" fillId="0" borderId="1" xfId="0" applyNumberFormat="1" applyFont="1" applyFill="1" applyBorder="1" applyAlignment="1">
      <alignment horizontal="right" vertical="center" wrapText="1"/>
    </xf>
    <xf numFmtId="0" fontId="35" fillId="0" borderId="0" xfId="0" applyFont="1" applyFill="1" applyAlignment="1">
      <alignment vertical="center"/>
    </xf>
    <xf numFmtId="0" fontId="35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49" fontId="24" fillId="0" borderId="1" xfId="0" applyNumberFormat="1" applyFont="1" applyBorder="1" applyAlignment="1">
      <alignment horizontal="right"/>
    </xf>
    <xf numFmtId="49" fontId="0" fillId="0" borderId="0" xfId="0" applyNumberFormat="1" applyAlignment="1">
      <alignment vertical="center"/>
    </xf>
    <xf numFmtId="0" fontId="27" fillId="0" borderId="3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9" fontId="9" fillId="0" borderId="1" xfId="0" applyNumberFormat="1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 wrapText="1" shrinkToFit="1"/>
    </xf>
    <xf numFmtId="0" fontId="35" fillId="0" borderId="0" xfId="0" applyFont="1" applyFill="1" applyAlignment="1">
      <alignment horizontal="center" vertical="center"/>
    </xf>
    <xf numFmtId="43" fontId="29" fillId="0" borderId="1" xfId="0" applyNumberFormat="1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9" fontId="29" fillId="0" borderId="0" xfId="2" applyFont="1" applyFill="1" applyAlignment="1">
      <alignment horizontal="center" vertical="center"/>
    </xf>
    <xf numFmtId="4" fontId="29" fillId="0" borderId="0" xfId="0" applyNumberFormat="1" applyFont="1" applyFill="1" applyAlignment="1">
      <alignment horizontal="center" vertical="center"/>
    </xf>
    <xf numFmtId="4" fontId="29" fillId="0" borderId="0" xfId="0" applyNumberFormat="1" applyFont="1" applyFill="1" applyAlignment="1">
      <alignment vertical="center"/>
    </xf>
    <xf numFmtId="0" fontId="29" fillId="0" borderId="0" xfId="0" applyFont="1" applyFill="1" applyAlignment="1">
      <alignment vertical="center"/>
    </xf>
    <xf numFmtId="0" fontId="35" fillId="0" borderId="1" xfId="0" applyFont="1" applyFill="1" applyBorder="1" applyAlignment="1">
      <alignment horizontal="center" vertical="center" wrapText="1"/>
    </xf>
    <xf numFmtId="43" fontId="35" fillId="0" borderId="1" xfId="0" applyNumberFormat="1" applyFont="1" applyFill="1" applyBorder="1" applyAlignment="1">
      <alignment horizontal="center" vertical="center"/>
    </xf>
    <xf numFmtId="9" fontId="35" fillId="0" borderId="0" xfId="2" applyFont="1" applyFill="1" applyAlignment="1">
      <alignment horizontal="center" vertical="center"/>
    </xf>
    <xf numFmtId="4" fontId="35" fillId="0" borderId="0" xfId="0" applyNumberFormat="1" applyFont="1" applyFill="1" applyAlignment="1">
      <alignment horizontal="center" vertical="center"/>
    </xf>
    <xf numFmtId="4" fontId="24" fillId="0" borderId="0" xfId="0" applyNumberFormat="1" applyFont="1" applyFill="1" applyAlignment="1">
      <alignment vertical="center"/>
    </xf>
    <xf numFmtId="0" fontId="24" fillId="0" borderId="0" xfId="0" applyFont="1" applyFill="1" applyAlignment="1">
      <alignment vertical="center"/>
    </xf>
    <xf numFmtId="166" fontId="9" fillId="0" borderId="1" xfId="0" applyNumberFormat="1" applyFont="1" applyFill="1" applyBorder="1" applyAlignment="1">
      <alignment horizontal="center" vertical="center"/>
    </xf>
    <xf numFmtId="4" fontId="36" fillId="0" borderId="1" xfId="0" applyNumberFormat="1" applyFont="1" applyFill="1" applyBorder="1" applyAlignment="1">
      <alignment horizontal="center" vertical="center" wrapText="1"/>
    </xf>
    <xf numFmtId="4" fontId="36" fillId="0" borderId="1" xfId="0" applyNumberFormat="1" applyFont="1" applyFill="1" applyBorder="1" applyAlignment="1">
      <alignment vertical="center" wrapText="1"/>
    </xf>
    <xf numFmtId="4" fontId="35" fillId="0" borderId="0" xfId="0" applyNumberFormat="1" applyFont="1" applyFill="1" applyAlignment="1">
      <alignment vertical="center"/>
    </xf>
    <xf numFmtId="166" fontId="32" fillId="0" borderId="1" xfId="0" applyNumberFormat="1" applyFont="1" applyFill="1" applyBorder="1" applyAlignment="1">
      <alignment horizontal="center" vertical="center"/>
    </xf>
    <xf numFmtId="165" fontId="16" fillId="6" borderId="32" xfId="0" applyNumberFormat="1" applyFont="1" applyFill="1" applyBorder="1" applyAlignment="1">
      <alignment vertical="center"/>
    </xf>
    <xf numFmtId="0" fontId="40" fillId="0" borderId="1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166" fontId="40" fillId="0" borderId="1" xfId="0" applyNumberFormat="1" applyFont="1" applyFill="1" applyBorder="1" applyAlignment="1">
      <alignment horizontal="center" vertical="center"/>
    </xf>
    <xf numFmtId="4" fontId="41" fillId="0" borderId="2" xfId="0" applyNumberFormat="1" applyFont="1" applyFill="1" applyBorder="1" applyAlignment="1">
      <alignment vertical="center"/>
    </xf>
    <xf numFmtId="4" fontId="41" fillId="0" borderId="1" xfId="0" applyNumberFormat="1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166" fontId="42" fillId="0" borderId="1" xfId="0" applyNumberFormat="1" applyFont="1" applyFill="1" applyBorder="1" applyAlignment="1">
      <alignment horizontal="center" vertical="center"/>
    </xf>
    <xf numFmtId="4" fontId="39" fillId="0" borderId="2" xfId="0" applyNumberFormat="1" applyFont="1" applyFill="1" applyBorder="1" applyAlignment="1">
      <alignment vertical="center"/>
    </xf>
    <xf numFmtId="4" fontId="39" fillId="0" borderId="1" xfId="0" applyNumberFormat="1" applyFont="1" applyFill="1" applyBorder="1" applyAlignment="1">
      <alignment vertical="center" wrapText="1"/>
    </xf>
    <xf numFmtId="0" fontId="27" fillId="0" borderId="30" xfId="0" applyNumberFormat="1" applyFont="1" applyFill="1" applyBorder="1" applyAlignment="1">
      <alignment horizontal="center" vertical="center"/>
    </xf>
    <xf numFmtId="0" fontId="27" fillId="0" borderId="1" xfId="0" applyNumberFormat="1" applyFont="1" applyFill="1" applyBorder="1" applyAlignment="1">
      <alignment horizontal="center" vertical="center"/>
    </xf>
    <xf numFmtId="4" fontId="41" fillId="0" borderId="1" xfId="0" applyNumberFormat="1" applyFont="1" applyFill="1" applyBorder="1" applyAlignment="1">
      <alignment vertical="center"/>
    </xf>
    <xf numFmtId="4" fontId="41" fillId="0" borderId="7" xfId="0" applyNumberFormat="1" applyFont="1" applyFill="1" applyBorder="1" applyAlignment="1">
      <alignment vertical="center"/>
    </xf>
    <xf numFmtId="0" fontId="40" fillId="0" borderId="1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40" fillId="0" borderId="7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center" vertical="center" wrapText="1"/>
    </xf>
    <xf numFmtId="166" fontId="40" fillId="0" borderId="4" xfId="0" applyNumberFormat="1" applyFont="1" applyFill="1" applyBorder="1" applyAlignment="1">
      <alignment horizontal="center" vertical="center"/>
    </xf>
    <xf numFmtId="0" fontId="27" fillId="0" borderId="1" xfId="0" applyNumberFormat="1" applyFont="1" applyFill="1" applyBorder="1" applyAlignment="1">
      <alignment horizontal="center" vertical="center" wrapText="1"/>
    </xf>
    <xf numFmtId="167" fontId="27" fillId="0" borderId="1" xfId="0" applyNumberFormat="1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/>
    </xf>
    <xf numFmtId="0" fontId="17" fillId="0" borderId="30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left" vertical="center" wrapText="1"/>
    </xf>
    <xf numFmtId="164" fontId="27" fillId="0" borderId="1" xfId="0" applyNumberFormat="1" applyFont="1" applyFill="1" applyBorder="1" applyAlignment="1">
      <alignment horizontal="left" vertical="center" wrapText="1"/>
    </xf>
    <xf numFmtId="164" fontId="27" fillId="0" borderId="4" xfId="0" applyNumberFormat="1" applyFont="1" applyFill="1" applyBorder="1" applyAlignment="1">
      <alignment horizontal="left" vertical="center" wrapText="1"/>
    </xf>
    <xf numFmtId="0" fontId="34" fillId="0" borderId="0" xfId="0" applyFont="1" applyFill="1" applyAlignment="1">
      <alignment vertical="center"/>
    </xf>
    <xf numFmtId="0" fontId="34" fillId="0" borderId="0" xfId="0" applyFont="1" applyFill="1" applyBorder="1" applyAlignment="1">
      <alignment horizontal="center" vertical="center"/>
    </xf>
    <xf numFmtId="0" fontId="0" fillId="0" borderId="45" xfId="0" applyFill="1" applyBorder="1" applyAlignment="1">
      <alignment vertical="center"/>
    </xf>
    <xf numFmtId="0" fontId="24" fillId="0" borderId="0" xfId="1" applyFont="1" applyFill="1" applyAlignment="1">
      <alignment horizontal="center" vertical="center"/>
    </xf>
    <xf numFmtId="4" fontId="39" fillId="0" borderId="1" xfId="0" applyNumberFormat="1" applyFont="1" applyFill="1" applyBorder="1" applyAlignment="1">
      <alignment vertical="center"/>
    </xf>
    <xf numFmtId="4" fontId="41" fillId="0" borderId="4" xfId="0" applyNumberFormat="1" applyFont="1" applyFill="1" applyBorder="1" applyAlignment="1">
      <alignment vertical="center"/>
    </xf>
    <xf numFmtId="4" fontId="41" fillId="0" borderId="30" xfId="0" applyNumberFormat="1" applyFont="1" applyFill="1" applyBorder="1" applyAlignment="1">
      <alignment vertical="center"/>
    </xf>
    <xf numFmtId="0" fontId="40" fillId="0" borderId="5" xfId="0" applyFont="1" applyFill="1" applyBorder="1" applyAlignment="1">
      <alignment horizontal="center" vertical="center"/>
    </xf>
    <xf numFmtId="43" fontId="24" fillId="0" borderId="1" xfId="0" applyNumberFormat="1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vertical="center" wrapText="1"/>
    </xf>
    <xf numFmtId="0" fontId="35" fillId="0" borderId="1" xfId="0" applyFont="1" applyFill="1" applyBorder="1" applyAlignment="1">
      <alignment vertical="center" wrapText="1"/>
    </xf>
    <xf numFmtId="165" fontId="16" fillId="6" borderId="5" xfId="0" applyNumberFormat="1" applyFont="1" applyFill="1" applyBorder="1" applyAlignment="1">
      <alignment vertical="center"/>
    </xf>
    <xf numFmtId="0" fontId="15" fillId="6" borderId="46" xfId="0" applyFont="1" applyFill="1" applyBorder="1" applyAlignment="1">
      <alignment horizontal="left" vertical="center" indent="2"/>
    </xf>
    <xf numFmtId="0" fontId="22" fillId="6" borderId="34" xfId="0" applyFont="1" applyFill="1" applyBorder="1" applyAlignment="1">
      <alignment horizontal="left" vertical="center" indent="2"/>
    </xf>
    <xf numFmtId="165" fontId="22" fillId="6" borderId="1" xfId="0" applyNumberFormat="1" applyFont="1" applyFill="1" applyBorder="1" applyAlignment="1">
      <alignment vertical="center"/>
    </xf>
    <xf numFmtId="0" fontId="51" fillId="0" borderId="0" xfId="0" applyFont="1" applyFill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51" fillId="0" borderId="0" xfId="0" applyFont="1" applyFill="1" applyBorder="1" applyAlignment="1">
      <alignment horizontal="center" vertical="center"/>
    </xf>
    <xf numFmtId="0" fontId="52" fillId="0" borderId="30" xfId="0" applyFont="1" applyFill="1" applyBorder="1" applyAlignment="1">
      <alignment horizontal="center" vertical="center" wrapText="1"/>
    </xf>
    <xf numFmtId="0" fontId="53" fillId="0" borderId="30" xfId="0" applyFont="1" applyFill="1" applyBorder="1" applyAlignment="1">
      <alignment vertical="center"/>
    </xf>
    <xf numFmtId="0" fontId="53" fillId="0" borderId="30" xfId="0" applyFont="1" applyFill="1" applyBorder="1" applyAlignment="1">
      <alignment vertical="center" wrapText="1"/>
    </xf>
    <xf numFmtId="0" fontId="53" fillId="0" borderId="30" xfId="0" applyFont="1" applyFill="1" applyBorder="1" applyAlignment="1">
      <alignment horizontal="center" vertical="center" wrapText="1"/>
    </xf>
    <xf numFmtId="0" fontId="53" fillId="0" borderId="30" xfId="0" applyNumberFormat="1" applyFont="1" applyFill="1" applyBorder="1" applyAlignment="1">
      <alignment horizontal="center" vertical="center"/>
    </xf>
    <xf numFmtId="4" fontId="54" fillId="0" borderId="30" xfId="0" applyNumberFormat="1" applyFont="1" applyFill="1" applyBorder="1" applyAlignment="1">
      <alignment vertical="center" wrapText="1"/>
    </xf>
    <xf numFmtId="4" fontId="54" fillId="0" borderId="31" xfId="0" applyNumberFormat="1" applyFont="1" applyFill="1" applyBorder="1" applyAlignment="1">
      <alignment vertical="center"/>
    </xf>
    <xf numFmtId="4" fontId="54" fillId="0" borderId="43" xfId="0" applyNumberFormat="1" applyFont="1" applyFill="1" applyBorder="1" applyAlignment="1">
      <alignment vertical="center" wrapText="1"/>
    </xf>
    <xf numFmtId="4" fontId="54" fillId="0" borderId="5" xfId="0" applyNumberFormat="1" applyFont="1" applyFill="1" applyBorder="1" applyAlignment="1">
      <alignment vertical="center" wrapText="1"/>
    </xf>
    <xf numFmtId="0" fontId="53" fillId="0" borderId="0" xfId="0" applyFont="1" applyFill="1" applyAlignment="1">
      <alignment horizontal="center" vertical="center"/>
    </xf>
    <xf numFmtId="9" fontId="53" fillId="0" borderId="0" xfId="2" applyFont="1" applyFill="1" applyAlignment="1">
      <alignment horizontal="center" vertical="center"/>
    </xf>
    <xf numFmtId="4" fontId="53" fillId="0" borderId="0" xfId="0" applyNumberFormat="1" applyFont="1" applyFill="1" applyAlignment="1">
      <alignment horizontal="center" vertical="center"/>
    </xf>
    <xf numFmtId="0" fontId="52" fillId="0" borderId="1" xfId="0" applyFont="1" applyFill="1" applyBorder="1" applyAlignment="1">
      <alignment horizontal="center" vertical="center" wrapText="1"/>
    </xf>
    <xf numFmtId="0" fontId="53" fillId="0" borderId="1" xfId="0" applyFont="1" applyFill="1" applyBorder="1" applyAlignment="1">
      <alignment vertical="center"/>
    </xf>
    <xf numFmtId="0" fontId="53" fillId="0" borderId="1" xfId="0" applyFont="1" applyFill="1" applyBorder="1" applyAlignment="1">
      <alignment vertical="center" wrapText="1"/>
    </xf>
    <xf numFmtId="0" fontId="53" fillId="0" borderId="1" xfId="0" applyFont="1" applyFill="1" applyBorder="1" applyAlignment="1">
      <alignment horizontal="center" vertical="center" wrapText="1"/>
    </xf>
    <xf numFmtId="0" fontId="53" fillId="0" borderId="1" xfId="0" applyNumberFormat="1" applyFont="1" applyFill="1" applyBorder="1" applyAlignment="1">
      <alignment horizontal="center" vertical="center"/>
    </xf>
    <xf numFmtId="4" fontId="54" fillId="0" borderId="1" xfId="0" applyNumberFormat="1" applyFont="1" applyFill="1" applyBorder="1" applyAlignment="1">
      <alignment vertical="center" wrapText="1"/>
    </xf>
    <xf numFmtId="4" fontId="54" fillId="0" borderId="2" xfId="0" applyNumberFormat="1" applyFont="1" applyFill="1" applyBorder="1" applyAlignment="1">
      <alignment vertical="center"/>
    </xf>
    <xf numFmtId="4" fontId="54" fillId="0" borderId="4" xfId="0" applyNumberFormat="1" applyFont="1" applyFill="1" applyBorder="1" applyAlignment="1">
      <alignment vertical="center" wrapText="1"/>
    </xf>
    <xf numFmtId="0" fontId="52" fillId="0" borderId="1" xfId="0" applyNumberFormat="1" applyFont="1" applyFill="1" applyBorder="1" applyAlignment="1">
      <alignment horizontal="center" vertical="center" wrapText="1"/>
    </xf>
    <xf numFmtId="4" fontId="54" fillId="0" borderId="1" xfId="0" applyNumberFormat="1" applyFont="1" applyFill="1" applyBorder="1" applyAlignment="1">
      <alignment vertical="center"/>
    </xf>
    <xf numFmtId="4" fontId="54" fillId="0" borderId="44" xfId="0" applyNumberFormat="1" applyFont="1" applyFill="1" applyBorder="1" applyAlignment="1">
      <alignment vertical="center" wrapText="1"/>
    </xf>
    <xf numFmtId="4" fontId="54" fillId="0" borderId="7" xfId="0" applyNumberFormat="1" applyFont="1" applyFill="1" applyBorder="1" applyAlignment="1">
      <alignment vertical="center"/>
    </xf>
    <xf numFmtId="16" fontId="53" fillId="0" borderId="1" xfId="0" applyNumberFormat="1" applyFont="1" applyFill="1" applyBorder="1" applyAlignment="1">
      <alignment horizontal="center" vertical="center" wrapText="1"/>
    </xf>
    <xf numFmtId="0" fontId="52" fillId="0" borderId="1" xfId="0" applyFont="1" applyFill="1" applyBorder="1" applyAlignment="1">
      <alignment horizontal="center" vertical="center"/>
    </xf>
    <xf numFmtId="0" fontId="52" fillId="0" borderId="2" xfId="0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vertical="center" wrapText="1"/>
    </xf>
    <xf numFmtId="0" fontId="53" fillId="0" borderId="1" xfId="0" applyFont="1" applyFill="1" applyBorder="1" applyAlignment="1">
      <alignment wrapText="1"/>
    </xf>
    <xf numFmtId="166" fontId="52" fillId="0" borderId="1" xfId="0" applyNumberFormat="1" applyFont="1" applyFill="1" applyBorder="1" applyAlignment="1">
      <alignment horizontal="center" vertical="center"/>
    </xf>
    <xf numFmtId="164" fontId="5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7" fillId="0" borderId="1" xfId="0" applyFont="1" applyFill="1" applyBorder="1" applyAlignment="1">
      <alignment vertical="center" wrapText="1"/>
    </xf>
    <xf numFmtId="0" fontId="51" fillId="0" borderId="1" xfId="0" applyFont="1" applyFill="1" applyBorder="1" applyAlignment="1">
      <alignment wrapText="1"/>
    </xf>
    <xf numFmtId="166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4" fontId="58" fillId="0" borderId="1" xfId="0" applyNumberFormat="1" applyFont="1" applyFill="1" applyBorder="1" applyAlignment="1">
      <alignment vertical="center"/>
    </xf>
    <xf numFmtId="4" fontId="58" fillId="0" borderId="2" xfId="0" applyNumberFormat="1" applyFont="1" applyFill="1" applyBorder="1" applyAlignment="1">
      <alignment vertical="center"/>
    </xf>
    <xf numFmtId="4" fontId="58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7" fillId="0" borderId="4" xfId="0" applyFont="1" applyFill="1" applyBorder="1" applyAlignment="1">
      <alignment vertical="center" wrapText="1"/>
    </xf>
    <xf numFmtId="0" fontId="51" fillId="0" borderId="4" xfId="0" applyFont="1" applyFill="1" applyBorder="1" applyAlignment="1">
      <alignment wrapText="1"/>
    </xf>
    <xf numFmtId="166" fontId="6" fillId="0" borderId="4" xfId="0" applyNumberFormat="1" applyFont="1" applyFill="1" applyBorder="1" applyAlignment="1">
      <alignment horizontal="center" vertical="center"/>
    </xf>
    <xf numFmtId="4" fontId="58" fillId="0" borderId="7" xfId="0" applyNumberFormat="1" applyFont="1" applyFill="1" applyBorder="1" applyAlignment="1">
      <alignment vertical="center"/>
    </xf>
    <xf numFmtId="4" fontId="58" fillId="0" borderId="4" xfId="0" applyNumberFormat="1" applyFont="1" applyFill="1" applyBorder="1" applyAlignment="1">
      <alignment vertical="center" wrapText="1"/>
    </xf>
    <xf numFmtId="166" fontId="58" fillId="0" borderId="1" xfId="0" applyNumberFormat="1" applyFont="1" applyFill="1" applyBorder="1" applyAlignment="1">
      <alignment horizontal="center" vertical="center"/>
    </xf>
    <xf numFmtId="0" fontId="58" fillId="0" borderId="1" xfId="0" applyFont="1" applyFill="1" applyBorder="1" applyAlignment="1">
      <alignment horizontal="center" vertical="center" wrapText="1"/>
    </xf>
    <xf numFmtId="9" fontId="51" fillId="0" borderId="0" xfId="2" applyFont="1" applyFill="1" applyAlignment="1">
      <alignment horizontal="center" vertical="center"/>
    </xf>
    <xf numFmtId="4" fontId="51" fillId="0" borderId="0" xfId="0" applyNumberFormat="1" applyFont="1" applyFill="1" applyAlignment="1">
      <alignment horizontal="center" vertical="center"/>
    </xf>
    <xf numFmtId="166" fontId="54" fillId="0" borderId="1" xfId="0" applyNumberFormat="1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horizontal="center" vertical="center" wrapText="1"/>
    </xf>
    <xf numFmtId="164" fontId="29" fillId="0" borderId="1" xfId="0" applyNumberFormat="1" applyFont="1" applyFill="1" applyBorder="1" applyAlignment="1">
      <alignment horizontal="center" vertical="center" wrapText="1"/>
    </xf>
    <xf numFmtId="164" fontId="24" fillId="0" borderId="1" xfId="0" applyNumberFormat="1" applyFont="1" applyFill="1" applyBorder="1" applyAlignment="1">
      <alignment horizontal="center" vertical="center" wrapText="1"/>
    </xf>
    <xf numFmtId="9" fontId="54" fillId="0" borderId="1" xfId="0" applyNumberFormat="1" applyFont="1" applyFill="1" applyBorder="1" applyAlignment="1">
      <alignment horizontal="center" vertical="center"/>
    </xf>
    <xf numFmtId="9" fontId="58" fillId="0" borderId="1" xfId="0" applyNumberFormat="1" applyFont="1" applyFill="1" applyBorder="1" applyAlignment="1">
      <alignment horizontal="center" vertical="center"/>
    </xf>
    <xf numFmtId="9" fontId="58" fillId="0" borderId="4" xfId="0" applyNumberFormat="1" applyFont="1" applyFill="1" applyBorder="1" applyAlignment="1">
      <alignment horizontal="center" vertical="center"/>
    </xf>
    <xf numFmtId="0" fontId="18" fillId="0" borderId="0" xfId="1" applyFont="1" applyFill="1" applyAlignment="1">
      <alignment horizontal="left" vertical="center"/>
    </xf>
    <xf numFmtId="0" fontId="17" fillId="0" borderId="0" xfId="1" applyFont="1" applyFill="1" applyAlignment="1">
      <alignment horizontal="left" vertical="center"/>
    </xf>
    <xf numFmtId="0" fontId="0" fillId="0" borderId="6" xfId="0" applyFill="1" applyBorder="1" applyAlignment="1">
      <alignment horizontal="center" vertical="center" wrapText="1" shrinkToFit="1"/>
    </xf>
    <xf numFmtId="0" fontId="18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24" fillId="0" borderId="0" xfId="1" applyFont="1" applyFill="1" applyAlignment="1">
      <alignment horizontal="left" vertical="center"/>
    </xf>
    <xf numFmtId="0" fontId="29" fillId="0" borderId="0" xfId="1" applyFont="1" applyFill="1" applyAlignment="1">
      <alignment horizontal="left" vertical="center"/>
    </xf>
    <xf numFmtId="0" fontId="59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" fontId="58" fillId="0" borderId="1" xfId="0" applyNumberFormat="1" applyFont="1" applyFill="1" applyBorder="1" applyAlignment="1">
      <alignment horizontal="right" vertical="center"/>
    </xf>
    <xf numFmtId="43" fontId="54" fillId="0" borderId="1" xfId="6" applyFont="1" applyFill="1" applyBorder="1" applyAlignment="1">
      <alignment horizontal="center" vertical="center"/>
    </xf>
    <xf numFmtId="4" fontId="54" fillId="0" borderId="1" xfId="0" applyNumberFormat="1" applyFont="1" applyFill="1" applyBorder="1" applyAlignment="1">
      <alignment horizontal="right" vertical="center"/>
    </xf>
    <xf numFmtId="0" fontId="59" fillId="0" borderId="1" xfId="0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vertical="center" wrapText="1"/>
    </xf>
    <xf numFmtId="43" fontId="61" fillId="0" borderId="1" xfId="6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43" fontId="58" fillId="0" borderId="1" xfId="6" applyFont="1" applyFill="1" applyBorder="1" applyAlignment="1">
      <alignment vertical="center"/>
    </xf>
    <xf numFmtId="0" fontId="53" fillId="0" borderId="1" xfId="0" applyFont="1" applyFill="1" applyBorder="1" applyAlignment="1">
      <alignment horizontal="center" vertical="center"/>
    </xf>
    <xf numFmtId="0" fontId="52" fillId="0" borderId="1" xfId="0" applyNumberFormat="1" applyFont="1" applyFill="1" applyBorder="1" applyAlignment="1">
      <alignment horizontal="center" vertical="center"/>
    </xf>
    <xf numFmtId="43" fontId="54" fillId="0" borderId="1" xfId="6" applyFont="1" applyFill="1" applyBorder="1" applyAlignment="1">
      <alignment vertical="center"/>
    </xf>
    <xf numFmtId="0" fontId="60" fillId="0" borderId="1" xfId="0" applyFont="1" applyFill="1" applyBorder="1" applyAlignment="1">
      <alignment horizontal="center" vertical="center"/>
    </xf>
    <xf numFmtId="43" fontId="61" fillId="0" borderId="1" xfId="6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4" fontId="54" fillId="0" borderId="1" xfId="0" applyNumberFormat="1" applyFont="1" applyFill="1" applyBorder="1" applyAlignment="1">
      <alignment horizontal="center" vertical="center" wrapText="1"/>
    </xf>
    <xf numFmtId="0" fontId="59" fillId="0" borderId="0" xfId="0" applyFont="1" applyFill="1" applyAlignment="1">
      <alignment vertical="center"/>
    </xf>
    <xf numFmtId="165" fontId="15" fillId="4" borderId="48" xfId="0" applyNumberFormat="1" applyFont="1" applyFill="1" applyBorder="1" applyAlignment="1">
      <alignment vertical="center"/>
    </xf>
    <xf numFmtId="165" fontId="15" fillId="4" borderId="35" xfId="0" applyNumberFormat="1" applyFont="1" applyFill="1" applyBorder="1" applyAlignment="1">
      <alignment vertical="center"/>
    </xf>
    <xf numFmtId="165" fontId="22" fillId="4" borderId="49" xfId="0" applyNumberFormat="1" applyFont="1" applyFill="1" applyBorder="1" applyAlignment="1">
      <alignment vertical="center"/>
    </xf>
    <xf numFmtId="165" fontId="22" fillId="6" borderId="35" xfId="0" applyNumberFormat="1" applyFont="1" applyFill="1" applyBorder="1" applyAlignment="1">
      <alignment vertical="center"/>
    </xf>
    <xf numFmtId="165" fontId="16" fillId="6" borderId="48" xfId="0" applyNumberFormat="1" applyFont="1" applyFill="1" applyBorder="1" applyAlignment="1">
      <alignment vertical="center"/>
    </xf>
    <xf numFmtId="165" fontId="22" fillId="6" borderId="41" xfId="0" applyNumberFormat="1" applyFont="1" applyFill="1" applyBorder="1" applyAlignment="1">
      <alignment vertical="center"/>
    </xf>
    <xf numFmtId="0" fontId="15" fillId="4" borderId="46" xfId="0" applyFont="1" applyFill="1" applyBorder="1" applyAlignment="1">
      <alignment vertical="center"/>
    </xf>
    <xf numFmtId="0" fontId="15" fillId="4" borderId="34" xfId="0" applyFont="1" applyFill="1" applyBorder="1" applyAlignment="1">
      <alignment horizontal="left" vertical="center" indent="2"/>
    </xf>
    <xf numFmtId="0" fontId="22" fillId="4" borderId="50" xfId="0" applyFont="1" applyFill="1" applyBorder="1" applyAlignment="1">
      <alignment horizontal="left" vertical="center" indent="2"/>
    </xf>
    <xf numFmtId="0" fontId="50" fillId="0" borderId="38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66" fontId="29" fillId="0" borderId="1" xfId="0" applyNumberFormat="1" applyFont="1" applyFill="1" applyBorder="1" applyAlignment="1">
      <alignment horizontal="center" vertical="center"/>
    </xf>
    <xf numFmtId="166" fontId="24" fillId="0" borderId="1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5" fillId="0" borderId="29" xfId="0" applyNumberFormat="1" applyFont="1" applyFill="1" applyBorder="1" applyAlignment="1">
      <alignment horizontal="center" vertical="center"/>
    </xf>
    <xf numFmtId="0" fontId="22" fillId="2" borderId="3" xfId="0" applyNumberFormat="1" applyFont="1" applyFill="1" applyBorder="1" applyAlignment="1">
      <alignment horizontal="center" vertical="center"/>
    </xf>
    <xf numFmtId="0" fontId="15" fillId="2" borderId="3" xfId="0" applyNumberFormat="1" applyFont="1" applyFill="1" applyBorder="1" applyAlignment="1">
      <alignment horizontal="center" vertical="center"/>
    </xf>
    <xf numFmtId="0" fontId="22" fillId="2" borderId="37" xfId="0" applyNumberFormat="1" applyFont="1" applyFill="1" applyBorder="1" applyAlignment="1">
      <alignment horizontal="center" vertical="center"/>
    </xf>
    <xf numFmtId="0" fontId="23" fillId="3" borderId="29" xfId="0" applyNumberFormat="1" applyFont="1" applyFill="1" applyBorder="1" applyAlignment="1">
      <alignment horizontal="center" vertical="center"/>
    </xf>
    <xf numFmtId="0" fontId="22" fillId="3" borderId="3" xfId="0" applyNumberFormat="1" applyFont="1" applyFill="1" applyBorder="1" applyAlignment="1">
      <alignment horizontal="center" vertical="center"/>
    </xf>
    <xf numFmtId="0" fontId="15" fillId="3" borderId="3" xfId="0" applyNumberFormat="1" applyFont="1" applyFill="1" applyBorder="1" applyAlignment="1">
      <alignment horizontal="center" vertical="center"/>
    </xf>
    <xf numFmtId="0" fontId="22" fillId="3" borderId="37" xfId="0" applyNumberFormat="1" applyFont="1" applyFill="1" applyBorder="1" applyAlignment="1">
      <alignment horizontal="center" vertical="center"/>
    </xf>
    <xf numFmtId="0" fontId="15" fillId="4" borderId="27" xfId="0" applyNumberFormat="1" applyFont="1" applyFill="1" applyBorder="1" applyAlignment="1">
      <alignment horizontal="center" vertical="center"/>
    </xf>
    <xf numFmtId="0" fontId="15" fillId="4" borderId="3" xfId="0" applyNumberFormat="1" applyFont="1" applyFill="1" applyBorder="1" applyAlignment="1">
      <alignment horizontal="center" vertical="center"/>
    </xf>
    <xf numFmtId="0" fontId="22" fillId="4" borderId="24" xfId="0" applyNumberFormat="1" applyFont="1" applyFill="1" applyBorder="1" applyAlignment="1">
      <alignment horizontal="center" vertical="center"/>
    </xf>
    <xf numFmtId="0" fontId="16" fillId="6" borderId="29" xfId="0" applyNumberFormat="1" applyFont="1" applyFill="1" applyBorder="1" applyAlignment="1">
      <alignment horizontal="center" vertical="center"/>
    </xf>
    <xf numFmtId="0" fontId="22" fillId="6" borderId="3" xfId="0" applyNumberFormat="1" applyFont="1" applyFill="1" applyBorder="1" applyAlignment="1">
      <alignment horizontal="center" vertical="center"/>
    </xf>
    <xf numFmtId="0" fontId="16" fillId="6" borderId="27" xfId="0" applyNumberFormat="1" applyFont="1" applyFill="1" applyBorder="1" applyAlignment="1">
      <alignment horizontal="center" vertical="center"/>
    </xf>
    <xf numFmtId="0" fontId="22" fillId="6" borderId="37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42" fillId="0" borderId="7" xfId="0" applyFont="1" applyFill="1" applyBorder="1" applyAlignment="1">
      <alignment horizontal="center" vertical="center" wrapText="1"/>
    </xf>
    <xf numFmtId="0" fontId="42" fillId="0" borderId="4" xfId="0" applyFont="1" applyFill="1" applyBorder="1" applyAlignment="1">
      <alignment horizontal="left" vertical="center" wrapText="1"/>
    </xf>
    <xf numFmtId="0" fontId="42" fillId="0" borderId="4" xfId="0" applyFont="1" applyFill="1" applyBorder="1" applyAlignment="1">
      <alignment horizontal="center" vertical="center" wrapText="1"/>
    </xf>
    <xf numFmtId="166" fontId="42" fillId="0" borderId="4" xfId="0" applyNumberFormat="1" applyFont="1" applyFill="1" applyBorder="1" applyAlignment="1">
      <alignment horizontal="center" vertical="center"/>
    </xf>
    <xf numFmtId="164" fontId="20" fillId="0" borderId="4" xfId="0" applyNumberFormat="1" applyFont="1" applyFill="1" applyBorder="1" applyAlignment="1">
      <alignment horizontal="left" vertical="center" wrapText="1"/>
    </xf>
    <xf numFmtId="4" fontId="39" fillId="0" borderId="4" xfId="0" applyNumberFormat="1" applyFont="1" applyFill="1" applyBorder="1" applyAlignment="1">
      <alignment vertical="center"/>
    </xf>
    <xf numFmtId="4" fontId="39" fillId="0" borderId="7" xfId="0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 wrapText="1"/>
    </xf>
    <xf numFmtId="0" fontId="52" fillId="0" borderId="1" xfId="0" applyFont="1" applyFill="1" applyBorder="1" applyAlignment="1">
      <alignment vertical="center" wrapText="1"/>
    </xf>
    <xf numFmtId="4" fontId="54" fillId="0" borderId="2" xfId="0" applyNumberFormat="1" applyFont="1" applyFill="1" applyBorder="1" applyAlignment="1">
      <alignment horizontal="right" vertical="center"/>
    </xf>
    <xf numFmtId="4" fontId="54" fillId="0" borderId="1" xfId="0" applyNumberFormat="1" applyFont="1" applyFill="1" applyBorder="1" applyAlignment="1">
      <alignment horizontal="right" vertical="center" wrapText="1"/>
    </xf>
    <xf numFmtId="0" fontId="59" fillId="0" borderId="1" xfId="0" applyFont="1" applyFill="1" applyBorder="1" applyAlignment="1">
      <alignment horizontal="center" vertical="center" wrapText="1"/>
    </xf>
    <xf numFmtId="4" fontId="58" fillId="0" borderId="2" xfId="0" applyNumberFormat="1" applyFont="1" applyFill="1" applyBorder="1" applyAlignment="1">
      <alignment horizontal="right" vertical="center"/>
    </xf>
    <xf numFmtId="4" fontId="58" fillId="0" borderId="1" xfId="0" applyNumberFormat="1" applyFont="1" applyFill="1" applyBorder="1" applyAlignment="1">
      <alignment horizontal="right" vertical="center" wrapText="1"/>
    </xf>
    <xf numFmtId="43" fontId="54" fillId="0" borderId="1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9" fontId="54" fillId="0" borderId="30" xfId="0" applyNumberFormat="1" applyFont="1" applyFill="1" applyBorder="1" applyAlignment="1">
      <alignment horizontal="center" vertical="center"/>
    </xf>
    <xf numFmtId="4" fontId="55" fillId="0" borderId="1" xfId="0" applyNumberFormat="1" applyFont="1" applyFill="1" applyBorder="1" applyAlignment="1">
      <alignment vertical="center" wrapText="1"/>
    </xf>
    <xf numFmtId="0" fontId="40" fillId="0" borderId="31" xfId="0" applyFont="1" applyFill="1" applyBorder="1" applyAlignment="1">
      <alignment horizontal="center" vertical="center" wrapText="1"/>
    </xf>
    <xf numFmtId="4" fontId="43" fillId="0" borderId="30" xfId="0" applyNumberFormat="1" applyFont="1" applyFill="1" applyBorder="1" applyAlignment="1">
      <alignment vertical="center" wrapText="1"/>
    </xf>
    <xf numFmtId="9" fontId="41" fillId="0" borderId="30" xfId="0" applyNumberFormat="1" applyFont="1" applyFill="1" applyBorder="1" applyAlignment="1">
      <alignment horizontal="center" vertical="center"/>
    </xf>
    <xf numFmtId="4" fontId="43" fillId="0" borderId="1" xfId="0" applyNumberFormat="1" applyFont="1" applyFill="1" applyBorder="1" applyAlignment="1">
      <alignment vertical="center" wrapText="1"/>
    </xf>
    <xf numFmtId="9" fontId="41" fillId="0" borderId="1" xfId="0" applyNumberFormat="1" applyFont="1" applyFill="1" applyBorder="1" applyAlignment="1">
      <alignment horizontal="center" vertical="center"/>
    </xf>
    <xf numFmtId="4" fontId="43" fillId="0" borderId="1" xfId="0" applyNumberFormat="1" applyFont="1" applyFill="1" applyBorder="1" applyAlignment="1">
      <alignment vertical="center"/>
    </xf>
    <xf numFmtId="4" fontId="46" fillId="0" borderId="1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4" fontId="39" fillId="7" borderId="2" xfId="0" applyNumberFormat="1" applyFont="1" applyFill="1" applyBorder="1" applyAlignment="1">
      <alignment vertical="center"/>
    </xf>
    <xf numFmtId="4" fontId="39" fillId="7" borderId="1" xfId="0" applyNumberFormat="1" applyFont="1" applyFill="1" applyBorder="1" applyAlignment="1">
      <alignment vertical="center" wrapText="1"/>
    </xf>
    <xf numFmtId="0" fontId="48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/>
    </xf>
    <xf numFmtId="166" fontId="18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center" vertical="center" wrapText="1"/>
    </xf>
    <xf numFmtId="4" fontId="64" fillId="0" borderId="2" xfId="0" applyNumberFormat="1" applyFont="1" applyFill="1" applyBorder="1" applyAlignment="1">
      <alignment vertical="center"/>
    </xf>
    <xf numFmtId="9" fontId="64" fillId="0" borderId="1" xfId="0" applyNumberFormat="1" applyFont="1" applyFill="1" applyBorder="1" applyAlignment="1">
      <alignment horizontal="center" vertical="center"/>
    </xf>
    <xf numFmtId="4" fontId="64" fillId="0" borderId="4" xfId="0" applyNumberFormat="1" applyFont="1" applyFill="1" applyBorder="1" applyAlignment="1">
      <alignment vertical="center"/>
    </xf>
    <xf numFmtId="4" fontId="64" fillId="0" borderId="1" xfId="0" applyNumberFormat="1" applyFont="1" applyFill="1" applyBorder="1" applyAlignment="1">
      <alignment vertical="center"/>
    </xf>
    <xf numFmtId="166" fontId="17" fillId="0" borderId="1" xfId="0" applyNumberFormat="1" applyFont="1" applyFill="1" applyBorder="1" applyAlignment="1">
      <alignment horizontal="center" vertical="center"/>
    </xf>
    <xf numFmtId="164" fontId="17" fillId="0" borderId="1" xfId="0" applyNumberFormat="1" applyFont="1" applyFill="1" applyBorder="1" applyAlignment="1">
      <alignment horizontal="center" vertical="center" wrapText="1"/>
    </xf>
    <xf numFmtId="43" fontId="65" fillId="0" borderId="1" xfId="6" applyFont="1" applyFill="1" applyBorder="1" applyAlignment="1">
      <alignment horizontal="center" vertical="center"/>
    </xf>
    <xf numFmtId="4" fontId="65" fillId="0" borderId="2" xfId="0" applyNumberFormat="1" applyFont="1" applyFill="1" applyBorder="1" applyAlignment="1">
      <alignment vertical="center"/>
    </xf>
    <xf numFmtId="4" fontId="65" fillId="0" borderId="1" xfId="0" applyNumberFormat="1" applyFont="1" applyFill="1" applyBorder="1" applyAlignment="1">
      <alignment vertical="center" wrapText="1"/>
    </xf>
    <xf numFmtId="9" fontId="65" fillId="0" borderId="1" xfId="0" applyNumberFormat="1" applyFont="1" applyFill="1" applyBorder="1" applyAlignment="1">
      <alignment horizontal="center" vertical="center"/>
    </xf>
    <xf numFmtId="4" fontId="65" fillId="0" borderId="1" xfId="0" applyNumberFormat="1" applyFont="1" applyFill="1" applyBorder="1" applyAlignment="1">
      <alignment vertical="center"/>
    </xf>
    <xf numFmtId="0" fontId="45" fillId="0" borderId="0" xfId="0" applyFont="1" applyFill="1"/>
    <xf numFmtId="0" fontId="52" fillId="0" borderId="30" xfId="0" applyFont="1" applyFill="1" applyBorder="1" applyAlignment="1">
      <alignment horizontal="center" vertical="center"/>
    </xf>
    <xf numFmtId="0" fontId="53" fillId="0" borderId="30" xfId="0" applyFont="1" applyFill="1" applyBorder="1" applyAlignment="1">
      <alignment horizontal="center" vertical="center"/>
    </xf>
    <xf numFmtId="0" fontId="27" fillId="0" borderId="42" xfId="0" applyFont="1" applyFill="1" applyBorder="1"/>
    <xf numFmtId="0" fontId="27" fillId="0" borderId="0" xfId="0" applyFont="1" applyFill="1"/>
    <xf numFmtId="0" fontId="20" fillId="0" borderId="0" xfId="0" applyFont="1" applyFill="1"/>
    <xf numFmtId="0" fontId="51" fillId="0" borderId="1" xfId="0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4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6" fillId="0" borderId="0" xfId="0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4" fontId="0" fillId="0" borderId="0" xfId="0" applyNumberFormat="1" applyFill="1" applyAlignment="1">
      <alignment vertical="center"/>
    </xf>
    <xf numFmtId="0" fontId="19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horizontal="center"/>
    </xf>
    <xf numFmtId="0" fontId="19" fillId="0" borderId="0" xfId="0" applyFont="1" applyFill="1"/>
    <xf numFmtId="0" fontId="25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34" fillId="0" borderId="0" xfId="0" applyFont="1" applyFill="1" applyAlignment="1">
      <alignment horizontal="center"/>
    </xf>
    <xf numFmtId="0" fontId="40" fillId="0" borderId="30" xfId="0" applyNumberFormat="1" applyFont="1" applyFill="1" applyBorder="1" applyAlignment="1">
      <alignment horizontal="center"/>
    </xf>
    <xf numFmtId="0" fontId="20" fillId="0" borderId="0" xfId="0" applyFont="1" applyFill="1" applyAlignment="1">
      <alignment horizontal="left" vertical="center"/>
    </xf>
    <xf numFmtId="9" fontId="20" fillId="0" borderId="0" xfId="2" applyFont="1" applyFill="1" applyAlignment="1">
      <alignment horizontal="left" vertical="center"/>
    </xf>
    <xf numFmtId="4" fontId="20" fillId="0" borderId="0" xfId="0" applyNumberFormat="1" applyFont="1" applyFill="1" applyAlignment="1">
      <alignment horizontal="left" vertical="center"/>
    </xf>
    <xf numFmtId="0" fontId="0" fillId="0" borderId="42" xfId="0" applyFill="1" applyBorder="1" applyAlignment="1">
      <alignment horizontal="left"/>
    </xf>
    <xf numFmtId="0" fontId="40" fillId="0" borderId="1" xfId="0" applyNumberFormat="1" applyFont="1" applyFill="1" applyBorder="1" applyAlignment="1">
      <alignment horizontal="center"/>
    </xf>
    <xf numFmtId="0" fontId="40" fillId="0" borderId="1" xfId="0" applyFont="1" applyFill="1" applyBorder="1" applyAlignment="1">
      <alignment horizontal="center"/>
    </xf>
    <xf numFmtId="0" fontId="30" fillId="0" borderId="1" xfId="0" applyFont="1" applyFill="1" applyBorder="1" applyAlignment="1">
      <alignment horizontal="center" vertical="center"/>
    </xf>
    <xf numFmtId="0" fontId="42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left" wrapText="1"/>
    </xf>
    <xf numFmtId="9" fontId="39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left" wrapText="1"/>
    </xf>
    <xf numFmtId="0" fontId="27" fillId="0" borderId="0" xfId="0" applyFont="1" applyFill="1" applyAlignment="1">
      <alignment horizontal="left"/>
    </xf>
    <xf numFmtId="0" fontId="0" fillId="0" borderId="1" xfId="0" applyFont="1" applyFill="1" applyBorder="1" applyAlignment="1">
      <alignment horizontal="left" vertical="center" wrapText="1"/>
    </xf>
    <xf numFmtId="4" fontId="39" fillId="0" borderId="1" xfId="0" applyNumberFormat="1" applyFont="1" applyFill="1" applyBorder="1" applyAlignment="1">
      <alignment horizontal="center" vertical="center"/>
    </xf>
    <xf numFmtId="4" fontId="39" fillId="0" borderId="2" xfId="0" applyNumberFormat="1" applyFont="1" applyFill="1" applyBorder="1" applyAlignment="1">
      <alignment horizontal="center" vertical="center"/>
    </xf>
    <xf numFmtId="4" fontId="39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9" fontId="41" fillId="0" borderId="4" xfId="0" applyNumberFormat="1" applyFont="1" applyFill="1" applyBorder="1" applyAlignment="1">
      <alignment horizontal="center" vertical="center"/>
    </xf>
    <xf numFmtId="9" fontId="39" fillId="0" borderId="4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 applyProtection="1">
      <alignment horizontal="center" vertical="center"/>
      <protection locked="0"/>
    </xf>
    <xf numFmtId="0" fontId="27" fillId="0" borderId="4" xfId="0" applyFont="1" applyFill="1" applyBorder="1" applyAlignment="1">
      <alignment horizontal="left" wrapText="1"/>
    </xf>
    <xf numFmtId="0" fontId="17" fillId="0" borderId="1" xfId="0" applyNumberFormat="1" applyFont="1" applyFill="1" applyBorder="1" applyAlignment="1">
      <alignment horizontal="center" vertical="center"/>
    </xf>
    <xf numFmtId="166" fontId="39" fillId="0" borderId="1" xfId="0" applyNumberFormat="1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 wrapText="1"/>
    </xf>
    <xf numFmtId="9" fontId="44" fillId="0" borderId="1" xfId="0" applyNumberFormat="1" applyFont="1" applyFill="1" applyBorder="1" applyAlignment="1">
      <alignment horizontal="center" vertical="center"/>
    </xf>
    <xf numFmtId="166" fontId="41" fillId="0" borderId="1" xfId="0" applyNumberFormat="1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 wrapText="1"/>
    </xf>
    <xf numFmtId="9" fontId="43" fillId="0" borderId="1" xfId="0" applyNumberFormat="1" applyFont="1" applyFill="1" applyBorder="1" applyAlignment="1">
      <alignment horizontal="center" vertical="center"/>
    </xf>
    <xf numFmtId="0" fontId="48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ill="1" applyAlignment="1">
      <alignment horizontal="left" vertical="center"/>
    </xf>
    <xf numFmtId="0" fontId="3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4" fontId="0" fillId="0" borderId="0" xfId="0" applyNumberFormat="1" applyFill="1" applyAlignment="1">
      <alignment horizontal="left"/>
    </xf>
    <xf numFmtId="0" fontId="19" fillId="0" borderId="0" xfId="0" applyFont="1" applyFill="1" applyBorder="1" applyAlignment="1">
      <alignment horizontal="left" vertical="center"/>
    </xf>
    <xf numFmtId="0" fontId="0" fillId="0" borderId="47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0" fillId="0" borderId="45" xfId="0" applyFill="1" applyBorder="1" applyAlignment="1">
      <alignment horizontal="left"/>
    </xf>
    <xf numFmtId="0" fontId="0" fillId="0" borderId="0" xfId="0" applyFill="1" applyBorder="1" applyAlignment="1">
      <alignment horizontal="left" vertical="center"/>
    </xf>
    <xf numFmtId="0" fontId="0" fillId="0" borderId="9" xfId="0" applyFill="1" applyBorder="1" applyAlignment="1">
      <alignment horizontal="center" vertical="center"/>
    </xf>
    <xf numFmtId="0" fontId="59" fillId="0" borderId="0" xfId="0" applyFont="1" applyFill="1" applyAlignment="1">
      <alignment horizontal="center" vertical="center"/>
    </xf>
    <xf numFmtId="43" fontId="58" fillId="0" borderId="1" xfId="6" applyFont="1" applyFill="1" applyBorder="1" applyAlignment="1">
      <alignment horizontal="center" vertical="center"/>
    </xf>
    <xf numFmtId="0" fontId="51" fillId="0" borderId="0" xfId="0" applyFont="1" applyFill="1" applyAlignment="1">
      <alignment horizontal="left" vertical="center"/>
    </xf>
    <xf numFmtId="9" fontId="51" fillId="0" borderId="0" xfId="2" applyFont="1" applyFill="1" applyAlignment="1">
      <alignment horizontal="left" vertical="center"/>
    </xf>
    <xf numFmtId="4" fontId="51" fillId="0" borderId="0" xfId="0" applyNumberFormat="1" applyFont="1" applyFill="1" applyAlignment="1">
      <alignment horizontal="left" vertical="center"/>
    </xf>
    <xf numFmtId="0" fontId="61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vertical="center" wrapText="1"/>
    </xf>
    <xf numFmtId="4" fontId="59" fillId="0" borderId="0" xfId="0" applyNumberFormat="1" applyFont="1" applyFill="1" applyAlignment="1">
      <alignment vertical="center"/>
    </xf>
    <xf numFmtId="0" fontId="60" fillId="0" borderId="0" xfId="0" applyFont="1" applyFill="1" applyAlignment="1">
      <alignment vertical="center"/>
    </xf>
    <xf numFmtId="0" fontId="62" fillId="0" borderId="0" xfId="0" applyFont="1" applyFill="1" applyAlignment="1">
      <alignment vertical="center"/>
    </xf>
    <xf numFmtId="0" fontId="20" fillId="0" borderId="1" xfId="0" applyFont="1" applyFill="1" applyBorder="1" applyAlignment="1">
      <alignment horizontal="left" wrapText="1"/>
    </xf>
    <xf numFmtId="0" fontId="20" fillId="0" borderId="4" xfId="0" applyFont="1" applyFill="1" applyBorder="1" applyAlignment="1">
      <alignment horizontal="left" vertical="center" wrapText="1"/>
    </xf>
    <xf numFmtId="4" fontId="54" fillId="0" borderId="31" xfId="0" applyNumberFormat="1" applyFont="1" applyFill="1" applyBorder="1" applyAlignment="1">
      <alignment vertical="center" wrapText="1"/>
    </xf>
    <xf numFmtId="4" fontId="54" fillId="0" borderId="2" xfId="0" applyNumberFormat="1" applyFont="1" applyFill="1" applyBorder="1" applyAlignment="1">
      <alignment vertical="center" wrapText="1"/>
    </xf>
    <xf numFmtId="4" fontId="54" fillId="0" borderId="8" xfId="0" applyNumberFormat="1" applyFont="1" applyFill="1" applyBorder="1" applyAlignment="1">
      <alignment vertical="center" wrapText="1"/>
    </xf>
    <xf numFmtId="4" fontId="54" fillId="0" borderId="55" xfId="0" applyNumberFormat="1" applyFont="1" applyFill="1" applyBorder="1" applyAlignment="1">
      <alignment vertical="center" wrapText="1"/>
    </xf>
    <xf numFmtId="4" fontId="58" fillId="0" borderId="2" xfId="0" applyNumberFormat="1" applyFont="1" applyFill="1" applyBorder="1" applyAlignment="1">
      <alignment vertical="center" wrapText="1"/>
    </xf>
    <xf numFmtId="4" fontId="58" fillId="0" borderId="5" xfId="0" applyNumberFormat="1" applyFont="1" applyFill="1" applyBorder="1" applyAlignment="1">
      <alignment vertical="center" wrapText="1"/>
    </xf>
    <xf numFmtId="0" fontId="67" fillId="0" borderId="1" xfId="0" applyFont="1" applyFill="1" applyBorder="1" applyAlignment="1">
      <alignment horizontal="center" vertical="center"/>
    </xf>
    <xf numFmtId="4" fontId="68" fillId="0" borderId="1" xfId="0" applyNumberFormat="1" applyFont="1" applyFill="1" applyBorder="1" applyAlignment="1">
      <alignment vertical="center"/>
    </xf>
    <xf numFmtId="4" fontId="69" fillId="0" borderId="1" xfId="0" applyNumberFormat="1" applyFont="1" applyFill="1" applyBorder="1" applyAlignment="1">
      <alignment vertical="center"/>
    </xf>
    <xf numFmtId="0" fontId="70" fillId="0" borderId="0" xfId="0" applyFont="1" applyFill="1" applyAlignment="1">
      <alignment horizontal="left"/>
    </xf>
    <xf numFmtId="0" fontId="18" fillId="0" borderId="1" xfId="0" applyFont="1" applyFill="1" applyBorder="1" applyAlignment="1">
      <alignment vertical="center" wrapText="1"/>
    </xf>
    <xf numFmtId="43" fontId="26" fillId="0" borderId="1" xfId="6" applyFont="1" applyFill="1" applyBorder="1" applyAlignment="1">
      <alignment horizontal="center" vertical="center"/>
    </xf>
    <xf numFmtId="4" fontId="64" fillId="0" borderId="1" xfId="0" applyNumberFormat="1" applyFont="1" applyFill="1" applyBorder="1" applyAlignment="1">
      <alignment vertical="center" wrapText="1"/>
    </xf>
    <xf numFmtId="43" fontId="64" fillId="0" borderId="1" xfId="6" applyFont="1" applyFill="1" applyBorder="1" applyAlignment="1">
      <alignment vertical="center"/>
    </xf>
    <xf numFmtId="4" fontId="0" fillId="0" borderId="0" xfId="0" applyNumberFormat="1" applyFill="1"/>
    <xf numFmtId="4" fontId="58" fillId="0" borderId="4" xfId="0" applyNumberFormat="1" applyFont="1" applyFill="1" applyBorder="1" applyAlignment="1" applyProtection="1">
      <alignment vertical="center"/>
      <protection locked="0"/>
    </xf>
    <xf numFmtId="4" fontId="66" fillId="0" borderId="1" xfId="0" applyNumberFormat="1" applyFont="1" applyFill="1" applyBorder="1" applyAlignment="1">
      <alignment horizontal="center" vertical="center" wrapText="1"/>
    </xf>
    <xf numFmtId="0" fontId="67" fillId="0" borderId="1" xfId="0" applyFont="1" applyFill="1" applyBorder="1" applyAlignment="1">
      <alignment horizontal="center" vertical="center" wrapText="1"/>
    </xf>
    <xf numFmtId="0" fontId="67" fillId="0" borderId="1" xfId="0" applyNumberFormat="1" applyFont="1" applyFill="1" applyBorder="1" applyAlignment="1">
      <alignment horizontal="center" vertical="center" wrapText="1"/>
    </xf>
    <xf numFmtId="0" fontId="67" fillId="0" borderId="1" xfId="0" applyFont="1" applyFill="1" applyBorder="1" applyAlignment="1">
      <alignment vertical="center" wrapText="1"/>
    </xf>
    <xf numFmtId="166" fontId="67" fillId="0" borderId="1" xfId="0" applyNumberFormat="1" applyFont="1" applyFill="1" applyBorder="1" applyAlignment="1">
      <alignment horizontal="center" vertical="center"/>
    </xf>
    <xf numFmtId="164" fontId="67" fillId="0" borderId="1" xfId="0" applyNumberFormat="1" applyFont="1" applyFill="1" applyBorder="1" applyAlignment="1">
      <alignment horizontal="center" vertical="center" wrapText="1"/>
    </xf>
    <xf numFmtId="43" fontId="68" fillId="0" borderId="1" xfId="6" applyFont="1" applyFill="1" applyBorder="1" applyAlignment="1">
      <alignment horizontal="center" vertical="center"/>
    </xf>
    <xf numFmtId="4" fontId="68" fillId="0" borderId="2" xfId="0" applyNumberFormat="1" applyFont="1" applyFill="1" applyBorder="1" applyAlignment="1">
      <alignment vertical="center"/>
    </xf>
    <xf numFmtId="4" fontId="68" fillId="0" borderId="1" xfId="0" applyNumberFormat="1" applyFont="1" applyFill="1" applyBorder="1" applyAlignment="1">
      <alignment vertical="center" wrapText="1"/>
    </xf>
    <xf numFmtId="9" fontId="68" fillId="0" borderId="1" xfId="0" applyNumberFormat="1" applyFont="1" applyFill="1" applyBorder="1" applyAlignment="1">
      <alignment horizontal="center" vertical="center"/>
    </xf>
    <xf numFmtId="4" fontId="39" fillId="0" borderId="1" xfId="0" applyNumberFormat="1" applyFont="1" applyFill="1" applyBorder="1" applyAlignment="1">
      <alignment horizontal="right" vertical="center" wrapText="1"/>
    </xf>
    <xf numFmtId="0" fontId="45" fillId="0" borderId="1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/>
    </xf>
    <xf numFmtId="0" fontId="74" fillId="0" borderId="0" xfId="0" applyFont="1" applyFill="1" applyAlignment="1">
      <alignment horizontal="left" vertical="center"/>
    </xf>
    <xf numFmtId="9" fontId="74" fillId="0" borderId="0" xfId="2" applyFont="1" applyFill="1" applyAlignment="1">
      <alignment horizontal="left" vertical="center"/>
    </xf>
    <xf numFmtId="4" fontId="74" fillId="0" borderId="0" xfId="0" applyNumberFormat="1" applyFont="1" applyFill="1" applyAlignment="1">
      <alignment horizontal="left" vertical="center"/>
    </xf>
    <xf numFmtId="0" fontId="75" fillId="0" borderId="0" xfId="0" applyFont="1" applyFill="1" applyAlignment="1">
      <alignment horizontal="left"/>
    </xf>
    <xf numFmtId="4" fontId="34" fillId="0" borderId="0" xfId="0" applyNumberFormat="1" applyFont="1" applyFill="1" applyAlignment="1">
      <alignment horizontal="center" vertical="center"/>
    </xf>
    <xf numFmtId="43" fontId="26" fillId="0" borderId="1" xfId="6" applyFont="1" applyFill="1" applyBorder="1" applyAlignment="1">
      <alignment vertical="center"/>
    </xf>
    <xf numFmtId="4" fontId="3" fillId="0" borderId="0" xfId="0" applyNumberFormat="1" applyFont="1" applyFill="1" applyAlignment="1">
      <alignment horizontal="left"/>
    </xf>
    <xf numFmtId="0" fontId="76" fillId="0" borderId="1" xfId="0" applyFont="1" applyFill="1" applyBorder="1" applyAlignment="1">
      <alignment horizontal="center" vertical="center"/>
    </xf>
    <xf numFmtId="43" fontId="65" fillId="0" borderId="1" xfId="6" applyFont="1" applyFill="1" applyBorder="1" applyAlignment="1">
      <alignment vertical="center"/>
    </xf>
    <xf numFmtId="0" fontId="34" fillId="0" borderId="0" xfId="0" applyFont="1" applyFill="1" applyBorder="1" applyAlignment="1">
      <alignment horizontal="center"/>
    </xf>
    <xf numFmtId="4" fontId="0" fillId="0" borderId="0" xfId="0" applyNumberFormat="1" applyFill="1" applyBorder="1" applyAlignment="1">
      <alignment horizontal="left"/>
    </xf>
    <xf numFmtId="0" fontId="27" fillId="0" borderId="0" xfId="0" applyFont="1" applyFill="1" applyBorder="1" applyAlignment="1">
      <alignment horizontal="left"/>
    </xf>
    <xf numFmtId="0" fontId="70" fillId="0" borderId="0" xfId="0" applyFont="1" applyFill="1" applyBorder="1" applyAlignment="1">
      <alignment horizontal="left"/>
    </xf>
    <xf numFmtId="0" fontId="75" fillId="0" borderId="0" xfId="0" applyFont="1" applyFill="1" applyBorder="1" applyAlignment="1">
      <alignment horizontal="left"/>
    </xf>
    <xf numFmtId="0" fontId="45" fillId="0" borderId="0" xfId="0" applyFont="1" applyFill="1" applyBorder="1"/>
    <xf numFmtId="0" fontId="27" fillId="0" borderId="0" xfId="0" applyFont="1" applyFill="1" applyBorder="1"/>
    <xf numFmtId="4" fontId="27" fillId="0" borderId="0" xfId="0" applyNumberFormat="1" applyFont="1" applyFill="1" applyBorder="1"/>
    <xf numFmtId="4" fontId="54" fillId="0" borderId="0" xfId="0" applyNumberFormat="1" applyFont="1" applyFill="1" applyBorder="1" applyAlignment="1">
      <alignment vertical="center" wrapText="1"/>
    </xf>
    <xf numFmtId="4" fontId="54" fillId="0" borderId="0" xfId="0" applyNumberFormat="1" applyFont="1" applyFill="1" applyBorder="1" applyAlignment="1">
      <alignment vertical="center"/>
    </xf>
    <xf numFmtId="4" fontId="58" fillId="0" borderId="0" xfId="0" applyNumberFormat="1" applyFont="1" applyFill="1" applyBorder="1" applyAlignment="1">
      <alignment vertical="center"/>
    </xf>
    <xf numFmtId="4" fontId="54" fillId="0" borderId="0" xfId="0" applyNumberFormat="1" applyFont="1" applyFill="1" applyBorder="1" applyAlignment="1">
      <alignment horizontal="right" vertical="center"/>
    </xf>
    <xf numFmtId="4" fontId="58" fillId="0" borderId="0" xfId="0" applyNumberFormat="1" applyFont="1" applyFill="1" applyBorder="1" applyAlignment="1">
      <alignment horizontal="right" vertical="center"/>
    </xf>
    <xf numFmtId="0" fontId="29" fillId="0" borderId="0" xfId="0" applyFont="1" applyFill="1" applyBorder="1" applyAlignment="1">
      <alignment vertical="center"/>
    </xf>
    <xf numFmtId="49" fontId="5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" fontId="71" fillId="0" borderId="56" xfId="0" applyNumberFormat="1" applyFont="1" applyFill="1" applyBorder="1" applyAlignment="1">
      <alignment horizontal="right" vertical="center" wrapText="1"/>
    </xf>
    <xf numFmtId="0" fontId="61" fillId="0" borderId="0" xfId="0" applyFont="1" applyFill="1" applyAlignment="1">
      <alignment horizontal="right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4" fontId="61" fillId="0" borderId="1" xfId="0" applyNumberFormat="1" applyFont="1" applyFill="1" applyBorder="1" applyAlignment="1">
      <alignment horizontal="center" vertical="center"/>
    </xf>
    <xf numFmtId="0" fontId="42" fillId="0" borderId="1" xfId="0" applyNumberFormat="1" applyFont="1" applyFill="1" applyBorder="1" applyAlignment="1">
      <alignment horizontal="center" wrapText="1"/>
    </xf>
    <xf numFmtId="0" fontId="42" fillId="0" borderId="1" xfId="0" applyNumberFormat="1" applyFont="1" applyFill="1" applyBorder="1" applyAlignment="1">
      <alignment horizontal="center" vertical="center"/>
    </xf>
    <xf numFmtId="0" fontId="72" fillId="0" borderId="1" xfId="0" applyFont="1" applyFill="1" applyBorder="1" applyAlignment="1">
      <alignment vertical="center" wrapText="1"/>
    </xf>
    <xf numFmtId="4" fontId="73" fillId="0" borderId="56" xfId="0" applyNumberFormat="1" applyFont="1" applyFill="1" applyBorder="1" applyAlignment="1">
      <alignment horizontal="right" vertical="center" wrapText="1"/>
    </xf>
    <xf numFmtId="0" fontId="40" fillId="0" borderId="4" xfId="0" applyNumberFormat="1" applyFont="1" applyFill="1" applyBorder="1" applyAlignment="1">
      <alignment horizontal="center" vertical="center"/>
    </xf>
    <xf numFmtId="0" fontId="42" fillId="0" borderId="4" xfId="0" applyNumberFormat="1" applyFont="1" applyFill="1" applyBorder="1" applyAlignment="1">
      <alignment horizontal="center"/>
    </xf>
    <xf numFmtId="0" fontId="42" fillId="0" borderId="4" xfId="0" applyNumberFormat="1" applyFont="1" applyFill="1" applyBorder="1" applyAlignment="1">
      <alignment horizontal="center" vertical="center"/>
    </xf>
    <xf numFmtId="4" fontId="45" fillId="0" borderId="0" xfId="0" applyNumberFormat="1" applyFont="1" applyFill="1" applyBorder="1" applyAlignment="1">
      <alignment horizontal="left"/>
    </xf>
    <xf numFmtId="0" fontId="4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0" fillId="0" borderId="42" xfId="0" applyNumberFormat="1" applyFill="1" applyBorder="1" applyAlignment="1">
      <alignment horizontal="left"/>
    </xf>
    <xf numFmtId="4" fontId="27" fillId="0" borderId="42" xfId="0" applyNumberFormat="1" applyFont="1" applyFill="1" applyBorder="1"/>
    <xf numFmtId="4" fontId="77" fillId="0" borderId="1" xfId="0" applyNumberFormat="1" applyFont="1" applyFill="1" applyBorder="1" applyAlignment="1">
      <alignment horizontal="right" vertical="center" wrapText="1"/>
    </xf>
    <xf numFmtId="4" fontId="77" fillId="0" borderId="1" xfId="0" applyNumberFormat="1" applyFont="1" applyFill="1" applyBorder="1" applyAlignment="1">
      <alignment horizontal="right" vertical="center"/>
    </xf>
    <xf numFmtId="0" fontId="50" fillId="0" borderId="1" xfId="0" applyFont="1" applyFill="1" applyBorder="1" applyAlignment="1">
      <alignment horizontal="center" vertical="center" wrapText="1"/>
    </xf>
    <xf numFmtId="0" fontId="50" fillId="0" borderId="4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168" fontId="54" fillId="0" borderId="1" xfId="0" applyNumberFormat="1" applyFont="1" applyFill="1" applyBorder="1" applyAlignment="1">
      <alignment horizontal="right" vertical="center" wrapText="1"/>
    </xf>
    <xf numFmtId="4" fontId="27" fillId="0" borderId="0" xfId="0" applyNumberFormat="1" applyFont="1" applyFill="1"/>
    <xf numFmtId="165" fontId="12" fillId="0" borderId="0" xfId="0" applyNumberFormat="1" applyFont="1" applyFill="1" applyBorder="1" applyAlignment="1">
      <alignment horizontal="center" vertical="center"/>
    </xf>
    <xf numFmtId="165" fontId="0" fillId="0" borderId="0" xfId="0" applyNumberFormat="1" applyFill="1" applyAlignment="1">
      <alignment vertical="center"/>
    </xf>
    <xf numFmtId="165" fontId="0" fillId="0" borderId="0" xfId="0" applyNumberFormat="1" applyFill="1"/>
    <xf numFmtId="165" fontId="13" fillId="0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Fill="1" applyBorder="1" applyAlignment="1">
      <alignment horizontal="center" vertical="center"/>
    </xf>
    <xf numFmtId="165" fontId="15" fillId="0" borderId="0" xfId="0" applyNumberFormat="1" applyFont="1" applyFill="1" applyBorder="1" applyAlignment="1">
      <alignment vertical="center"/>
    </xf>
    <xf numFmtId="43" fontId="61" fillId="0" borderId="1" xfId="0" applyNumberFormat="1" applyFont="1" applyFill="1" applyBorder="1" applyAlignment="1">
      <alignment horizontal="center" vertical="center"/>
    </xf>
    <xf numFmtId="4" fontId="61" fillId="0" borderId="0" xfId="9" applyNumberFormat="1" applyFont="1" applyFill="1" applyAlignment="1">
      <alignment horizontal="right" vertical="center"/>
    </xf>
    <xf numFmtId="4" fontId="78" fillId="0" borderId="1" xfId="0" applyNumberFormat="1" applyFont="1" applyFill="1" applyBorder="1" applyAlignment="1">
      <alignment vertical="center"/>
    </xf>
    <xf numFmtId="4" fontId="78" fillId="0" borderId="1" xfId="0" applyNumberFormat="1" applyFont="1" applyFill="1" applyBorder="1" applyAlignment="1">
      <alignment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5" borderId="20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3" fillId="0" borderId="51" xfId="0" applyFont="1" applyFill="1" applyBorder="1" applyAlignment="1">
      <alignment horizontal="center" vertical="center"/>
    </xf>
    <xf numFmtId="0" fontId="13" fillId="0" borderId="52" xfId="0" applyFont="1" applyFill="1" applyBorder="1" applyAlignment="1">
      <alignment horizontal="center" vertical="center"/>
    </xf>
    <xf numFmtId="0" fontId="13" fillId="0" borderId="53" xfId="0" applyFont="1" applyFill="1" applyBorder="1" applyAlignment="1">
      <alignment horizontal="center" vertical="center"/>
    </xf>
    <xf numFmtId="0" fontId="50" fillId="0" borderId="1" xfId="0" applyFont="1" applyFill="1" applyBorder="1" applyAlignment="1">
      <alignment horizontal="center" vertical="center" wrapText="1"/>
    </xf>
    <xf numFmtId="0" fontId="54" fillId="0" borderId="2" xfId="0" applyFont="1" applyFill="1" applyBorder="1" applyAlignment="1">
      <alignment horizontal="center" vertical="center" wrapText="1" shrinkToFit="1"/>
    </xf>
    <xf numFmtId="0" fontId="54" fillId="0" borderId="9" xfId="0" applyFont="1" applyFill="1" applyBorder="1" applyAlignment="1">
      <alignment horizontal="center" vertical="center" wrapText="1" shrinkToFit="1"/>
    </xf>
    <xf numFmtId="0" fontId="54" fillId="0" borderId="3" xfId="0" applyFont="1" applyFill="1" applyBorder="1" applyAlignment="1">
      <alignment horizontal="center" vertical="center" wrapText="1" shrinkToFit="1"/>
    </xf>
    <xf numFmtId="0" fontId="58" fillId="0" borderId="2" xfId="0" applyFont="1" applyFill="1" applyBorder="1" applyAlignment="1">
      <alignment horizontal="center" vertical="center" wrapText="1" shrinkToFit="1"/>
    </xf>
    <xf numFmtId="0" fontId="58" fillId="0" borderId="9" xfId="0" applyFont="1" applyFill="1" applyBorder="1" applyAlignment="1">
      <alignment horizontal="center" vertical="center" wrapText="1" shrinkToFit="1"/>
    </xf>
    <xf numFmtId="0" fontId="58" fillId="0" borderId="3" xfId="0" applyFont="1" applyFill="1" applyBorder="1" applyAlignment="1">
      <alignment horizontal="center" vertical="center" wrapText="1" shrinkToFit="1"/>
    </xf>
    <xf numFmtId="0" fontId="50" fillId="0" borderId="4" xfId="0" applyFont="1" applyFill="1" applyBorder="1" applyAlignment="1">
      <alignment horizontal="center" vertical="center" wrapText="1"/>
    </xf>
    <xf numFmtId="0" fontId="50" fillId="0" borderId="5" xfId="0" applyFont="1" applyFill="1" applyBorder="1" applyAlignment="1">
      <alignment horizontal="center" vertical="center" wrapText="1"/>
    </xf>
    <xf numFmtId="0" fontId="50" fillId="0" borderId="7" xfId="0" applyFont="1" applyFill="1" applyBorder="1" applyAlignment="1">
      <alignment horizontal="center" vertical="center" wrapText="1"/>
    </xf>
    <xf numFmtId="0" fontId="50" fillId="0" borderId="8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7" fillId="0" borderId="4" xfId="0" applyFont="1" applyFill="1" applyBorder="1" applyAlignment="1">
      <alignment horizontal="center" vertical="center" wrapText="1"/>
    </xf>
    <xf numFmtId="0" fontId="47" fillId="0" borderId="5" xfId="0" applyFont="1" applyFill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left" vertical="center" wrapText="1"/>
    </xf>
    <xf numFmtId="0" fontId="39" fillId="0" borderId="9" xfId="0" applyFont="1" applyFill="1" applyBorder="1" applyAlignment="1">
      <alignment horizontal="left" vertical="center" wrapText="1"/>
    </xf>
    <xf numFmtId="0" fontId="39" fillId="0" borderId="3" xfId="0" applyFont="1" applyFill="1" applyBorder="1" applyAlignment="1">
      <alignment horizontal="left" vertical="center" wrapText="1"/>
    </xf>
    <xf numFmtId="0" fontId="47" fillId="0" borderId="38" xfId="0" applyFont="1" applyFill="1" applyBorder="1" applyAlignment="1">
      <alignment horizontal="center" vertical="center" wrapText="1"/>
    </xf>
    <xf numFmtId="0" fontId="47" fillId="0" borderId="7" xfId="0" applyFont="1" applyFill="1" applyBorder="1" applyAlignment="1">
      <alignment horizontal="center" vertical="center" wrapText="1"/>
    </xf>
    <xf numFmtId="0" fontId="47" fillId="0" borderId="8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left" vertical="center" wrapText="1"/>
    </xf>
    <xf numFmtId="0" fontId="41" fillId="0" borderId="9" xfId="0" applyFont="1" applyFill="1" applyBorder="1" applyAlignment="1">
      <alignment horizontal="left" vertical="center" wrapText="1"/>
    </xf>
    <xf numFmtId="0" fontId="41" fillId="0" borderId="3" xfId="0" applyFont="1" applyFill="1" applyBorder="1" applyAlignment="1">
      <alignment horizontal="left" vertical="center" wrapText="1"/>
    </xf>
    <xf numFmtId="0" fontId="47" fillId="0" borderId="54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49" fillId="0" borderId="4" xfId="0" applyFont="1" applyFill="1" applyBorder="1" applyAlignment="1">
      <alignment horizontal="center" vertical="center" wrapText="1"/>
    </xf>
    <xf numFmtId="0" fontId="49" fillId="0" borderId="5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9" fillId="0" borderId="7" xfId="0" applyFont="1" applyFill="1" applyBorder="1" applyAlignment="1">
      <alignment horizontal="center" vertical="center" wrapText="1"/>
    </xf>
    <xf numFmtId="0" fontId="49" fillId="0" borderId="8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vertical="center" shrinkToFit="1"/>
    </xf>
    <xf numFmtId="0" fontId="51" fillId="0" borderId="0" xfId="0" applyFont="1" applyFill="1" applyAlignment="1">
      <alignment vertical="center" shrinkToFi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1" fillId="0" borderId="0" xfId="0" applyFont="1" applyFill="1" applyAlignment="1">
      <alignment vertical="center"/>
    </xf>
    <xf numFmtId="0" fontId="53" fillId="0" borderId="6" xfId="0" applyFont="1" applyFill="1" applyBorder="1" applyAlignment="1">
      <alignment vertical="center" shrinkToFit="1"/>
    </xf>
    <xf numFmtId="0" fontId="53" fillId="0" borderId="6" xfId="0" applyFont="1" applyFill="1" applyBorder="1" applyAlignment="1">
      <alignment vertical="center"/>
    </xf>
    <xf numFmtId="0" fontId="60" fillId="0" borderId="6" xfId="0" applyFont="1" applyFill="1" applyBorder="1" applyAlignment="1">
      <alignment vertical="center"/>
    </xf>
    <xf numFmtId="0" fontId="54" fillId="0" borderId="2" xfId="0" applyFont="1" applyFill="1" applyBorder="1" applyAlignment="1">
      <alignment horizontal="center" vertical="center" wrapText="1"/>
    </xf>
    <xf numFmtId="0" fontId="54" fillId="0" borderId="9" xfId="0" applyFont="1" applyFill="1" applyBorder="1" applyAlignment="1">
      <alignment horizontal="center" vertical="center" wrapText="1"/>
    </xf>
    <xf numFmtId="0" fontId="5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0">
    <cellStyle name="Dziesiętny" xfId="6" builtinId="3"/>
    <cellStyle name="Dziesiętny 2" xfId="4"/>
    <cellStyle name="Normalny" xfId="0" builtinId="0"/>
    <cellStyle name="Normalny 2" xfId="3"/>
    <cellStyle name="Normalny 3" xfId="1"/>
    <cellStyle name="Normalny 4" xfId="7"/>
    <cellStyle name="Normalny 5" xfId="8"/>
    <cellStyle name="Normalny 6" xfId="9"/>
    <cellStyle name="Procentowy" xfId="5" builtinId="5"/>
    <cellStyle name="Procentowy 2" xfId="2"/>
  </cellStyles>
  <dxfs count="9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8">
    <pageSetUpPr fitToPage="1"/>
  </sheetPr>
  <dimension ref="A1:X49"/>
  <sheetViews>
    <sheetView tabSelected="1" zoomScaleSheetLayoutView="85" workbookViewId="0">
      <selection activeCell="A9" sqref="A9"/>
    </sheetView>
  </sheetViews>
  <sheetFormatPr defaultColWidth="9.140625" defaultRowHeight="15"/>
  <cols>
    <col min="1" max="1" width="32.140625" style="11" customWidth="1"/>
    <col min="2" max="2" width="10.7109375" style="1" customWidth="1"/>
    <col min="3" max="5" width="20.7109375" style="11" customWidth="1"/>
    <col min="6" max="15" width="15.7109375" style="11" customWidth="1"/>
    <col min="16" max="16" width="9.140625" style="11"/>
    <col min="17" max="17" width="11.7109375" style="11" bestFit="1" customWidth="1"/>
    <col min="18" max="16384" width="9.140625" style="3"/>
  </cols>
  <sheetData>
    <row r="1" spans="1:24" s="7" customFormat="1" ht="30" customHeight="1" thickBot="1">
      <c r="A1" s="4" t="s">
        <v>885</v>
      </c>
      <c r="B1" s="31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</row>
    <row r="2" spans="1:24">
      <c r="A2" s="8"/>
      <c r="B2" s="16"/>
      <c r="C2" s="8"/>
      <c r="D2" s="8"/>
      <c r="E2" s="8"/>
      <c r="F2" s="556" t="s">
        <v>886</v>
      </c>
      <c r="G2" s="557"/>
      <c r="H2" s="557"/>
      <c r="I2" s="557"/>
      <c r="J2" s="557"/>
      <c r="K2" s="557"/>
      <c r="L2" s="557"/>
      <c r="M2" s="557"/>
      <c r="N2" s="558"/>
      <c r="O2" s="8"/>
      <c r="P2" s="8"/>
      <c r="Q2" s="8"/>
      <c r="R2" s="9"/>
      <c r="S2" s="9"/>
      <c r="T2" s="9"/>
      <c r="U2" s="9"/>
      <c r="V2" s="9"/>
      <c r="W2" s="9"/>
      <c r="X2" s="9"/>
    </row>
    <row r="3" spans="1:24">
      <c r="A3" s="10"/>
      <c r="B3" s="16"/>
      <c r="C3" s="8"/>
      <c r="D3" s="8"/>
      <c r="E3" s="8"/>
      <c r="F3" s="559"/>
      <c r="G3" s="560"/>
      <c r="H3" s="560"/>
      <c r="I3" s="560"/>
      <c r="J3" s="560"/>
      <c r="K3" s="560"/>
      <c r="L3" s="560"/>
      <c r="M3" s="560"/>
      <c r="N3" s="561"/>
      <c r="X3" s="9"/>
    </row>
    <row r="4" spans="1:24">
      <c r="A4" s="12" t="s">
        <v>809</v>
      </c>
      <c r="B4" s="313"/>
      <c r="C4" s="13"/>
      <c r="D4" s="13"/>
      <c r="E4" s="13"/>
      <c r="F4" s="559"/>
      <c r="G4" s="560"/>
      <c r="H4" s="560"/>
      <c r="I4" s="560"/>
      <c r="J4" s="560"/>
      <c r="K4" s="560"/>
      <c r="L4" s="560"/>
      <c r="M4" s="560"/>
      <c r="N4" s="561"/>
      <c r="X4" s="14"/>
    </row>
    <row r="5" spans="1:24">
      <c r="A5" s="13"/>
      <c r="B5" s="313"/>
      <c r="C5" s="13"/>
      <c r="D5" s="13"/>
      <c r="E5" s="13"/>
      <c r="F5" s="559"/>
      <c r="G5" s="560"/>
      <c r="H5" s="560"/>
      <c r="I5" s="560"/>
      <c r="J5" s="560"/>
      <c r="K5" s="560"/>
      <c r="L5" s="560"/>
      <c r="M5" s="560"/>
      <c r="N5" s="561"/>
      <c r="X5" s="9"/>
    </row>
    <row r="6" spans="1:24">
      <c r="A6" s="12" t="s">
        <v>805</v>
      </c>
      <c r="B6" s="313"/>
      <c r="C6" s="13"/>
      <c r="D6" s="13"/>
      <c r="E6" s="13"/>
      <c r="F6" s="559"/>
      <c r="G6" s="560"/>
      <c r="H6" s="560"/>
      <c r="I6" s="560"/>
      <c r="J6" s="560"/>
      <c r="K6" s="560"/>
      <c r="L6" s="560"/>
      <c r="M6" s="560"/>
      <c r="N6" s="561"/>
      <c r="X6" s="14"/>
    </row>
    <row r="7" spans="1:24" ht="15.75" thickBot="1">
      <c r="A7" s="13"/>
      <c r="B7" s="313"/>
      <c r="C7" s="13"/>
      <c r="D7" s="13"/>
      <c r="E7" s="13"/>
      <c r="F7" s="562"/>
      <c r="G7" s="563"/>
      <c r="H7" s="563"/>
      <c r="I7" s="563"/>
      <c r="J7" s="563"/>
      <c r="K7" s="563"/>
      <c r="L7" s="563"/>
      <c r="M7" s="563"/>
      <c r="N7" s="564"/>
      <c r="X7" s="9"/>
    </row>
    <row r="8" spans="1:24">
      <c r="A8" s="13"/>
      <c r="B8" s="313"/>
      <c r="C8" s="13"/>
      <c r="D8" s="13"/>
      <c r="E8" s="13"/>
      <c r="F8" s="551"/>
      <c r="G8" s="551"/>
      <c r="H8" s="551"/>
      <c r="I8" s="551"/>
      <c r="J8" s="313"/>
      <c r="K8" s="546"/>
      <c r="L8" s="313"/>
      <c r="M8" s="313"/>
      <c r="N8" s="313"/>
      <c r="O8" s="547"/>
      <c r="X8" s="9"/>
    </row>
    <row r="9" spans="1:24">
      <c r="A9" s="13"/>
      <c r="B9" s="313"/>
      <c r="C9" s="13"/>
      <c r="D9" s="13"/>
      <c r="E9" s="13"/>
      <c r="F9" s="551"/>
      <c r="G9" s="551"/>
      <c r="H9" s="551"/>
      <c r="I9" s="551"/>
      <c r="J9" s="313"/>
      <c r="K9" s="546"/>
      <c r="L9" s="313"/>
      <c r="M9" s="546"/>
      <c r="N9" s="313"/>
      <c r="O9" s="31"/>
      <c r="X9" s="9"/>
    </row>
    <row r="10" spans="1:24">
      <c r="A10" s="13"/>
      <c r="B10" s="313"/>
      <c r="C10" s="13"/>
      <c r="D10" s="13"/>
      <c r="E10" s="13"/>
      <c r="F10" s="551"/>
      <c r="G10" s="551"/>
      <c r="H10" s="551"/>
      <c r="I10" s="551"/>
      <c r="J10" s="313"/>
      <c r="K10" s="546"/>
      <c r="L10" s="313"/>
      <c r="M10" s="313"/>
      <c r="N10" s="313"/>
      <c r="O10" s="31"/>
      <c r="X10" s="9"/>
    </row>
    <row r="11" spans="1:24" ht="20.100000000000001" customHeight="1" thickBot="1">
      <c r="A11" s="12" t="s">
        <v>0</v>
      </c>
      <c r="B11" s="313"/>
      <c r="C11" s="13"/>
      <c r="D11" s="3"/>
      <c r="E11" s="13"/>
      <c r="F11" s="548"/>
      <c r="G11" s="548"/>
      <c r="H11" s="548"/>
      <c r="I11" s="548"/>
      <c r="J11" s="313"/>
      <c r="K11" s="549"/>
      <c r="L11" s="313"/>
      <c r="M11" s="313"/>
      <c r="N11" s="550"/>
      <c r="O11" s="31"/>
      <c r="X11" s="9"/>
    </row>
    <row r="12" spans="1:24" ht="20.100000000000001" customHeight="1">
      <c r="A12" s="565" t="s">
        <v>1</v>
      </c>
      <c r="B12" s="567" t="s">
        <v>31</v>
      </c>
      <c r="C12" s="569" t="s">
        <v>18</v>
      </c>
      <c r="D12" s="571" t="s">
        <v>19</v>
      </c>
      <c r="E12" s="573" t="s">
        <v>20</v>
      </c>
      <c r="F12" s="575" t="s">
        <v>12</v>
      </c>
      <c r="G12" s="576"/>
      <c r="H12" s="576"/>
      <c r="I12" s="576"/>
      <c r="J12" s="576"/>
      <c r="K12" s="576"/>
      <c r="L12" s="576"/>
      <c r="M12" s="576"/>
      <c r="N12" s="576"/>
      <c r="O12" s="577"/>
      <c r="P12" s="28"/>
      <c r="Q12" s="28"/>
      <c r="R12" s="2"/>
      <c r="S12" s="2"/>
      <c r="T12" s="2"/>
      <c r="U12" s="2"/>
      <c r="X12" s="9"/>
    </row>
    <row r="13" spans="1:24" s="1" customFormat="1" ht="20.100000000000001" customHeight="1" thickBot="1">
      <c r="A13" s="566"/>
      <c r="B13" s="568"/>
      <c r="C13" s="570"/>
      <c r="D13" s="572"/>
      <c r="E13" s="574"/>
      <c r="F13" s="53">
        <v>2019</v>
      </c>
      <c r="G13" s="54">
        <v>2020</v>
      </c>
      <c r="H13" s="54">
        <v>2021</v>
      </c>
      <c r="I13" s="54">
        <v>2022</v>
      </c>
      <c r="J13" s="54">
        <v>2023</v>
      </c>
      <c r="K13" s="54">
        <v>2024</v>
      </c>
      <c r="L13" s="54">
        <v>2025</v>
      </c>
      <c r="M13" s="54">
        <v>2026</v>
      </c>
      <c r="N13" s="54">
        <v>2027</v>
      </c>
      <c r="O13" s="55">
        <v>2028</v>
      </c>
      <c r="P13" s="15"/>
      <c r="Q13" s="15"/>
      <c r="R13" s="15"/>
      <c r="S13" s="15"/>
      <c r="T13" s="15"/>
      <c r="U13" s="15"/>
      <c r="V13" s="16"/>
      <c r="W13" s="16"/>
      <c r="X13" s="16"/>
    </row>
    <row r="14" spans="1:24" ht="39.950000000000003" customHeight="1" thickTop="1">
      <c r="A14" s="57" t="s">
        <v>34</v>
      </c>
      <c r="B14" s="314">
        <f>COUNTA('pow podst'!K3:K47)</f>
        <v>43</v>
      </c>
      <c r="C14" s="58">
        <f>SUM('pow podst'!J3:J47)</f>
        <v>300103550.88999999</v>
      </c>
      <c r="D14" s="59">
        <f>SUM('pow podst'!L3:L47)</f>
        <v>144206115.48999998</v>
      </c>
      <c r="E14" s="60">
        <f>SUM('pow podst'!K3:K47)</f>
        <v>155897435.40000004</v>
      </c>
      <c r="F14" s="61">
        <f>SUM('pow podst'!N3:N47)</f>
        <v>22374806.900000002</v>
      </c>
      <c r="G14" s="58">
        <f>SUM('pow podst'!O3:O47)</f>
        <v>89791577.770000026</v>
      </c>
      <c r="H14" s="58">
        <f>SUM('pow podst'!P3:P47)</f>
        <v>34207739.269999996</v>
      </c>
      <c r="I14" s="58">
        <f>SUM('pow podst'!Q3:Q47)</f>
        <v>9523311.4600000009</v>
      </c>
      <c r="J14" s="58">
        <f>SUM('pow podst'!R3:R47)</f>
        <v>0</v>
      </c>
      <c r="K14" s="58">
        <f>SUM('pow podst'!S3:S47)</f>
        <v>0</v>
      </c>
      <c r="L14" s="58">
        <f>SUM('pow podst'!T3:T47)</f>
        <v>0</v>
      </c>
      <c r="M14" s="58">
        <f>SUM('pow podst'!U3:U47)</f>
        <v>0</v>
      </c>
      <c r="N14" s="58">
        <f>SUM('pow podst'!V3:V47)</f>
        <v>0</v>
      </c>
      <c r="O14" s="62">
        <f>SUM('pow podst'!W3:W47)</f>
        <v>0</v>
      </c>
      <c r="P14" s="17" t="b">
        <f>C14=(D14+E14)</f>
        <v>1</v>
      </c>
      <c r="Q14" s="32" t="b">
        <f>E14=SUM(F14:O14)</f>
        <v>1</v>
      </c>
      <c r="R14" s="18"/>
      <c r="S14" s="18"/>
      <c r="T14" s="19"/>
      <c r="U14" s="19"/>
      <c r="V14" s="20"/>
      <c r="W14" s="9"/>
      <c r="X14" s="9"/>
    </row>
    <row r="15" spans="1:24" ht="39.950000000000003" customHeight="1">
      <c r="A15" s="63" t="s">
        <v>35</v>
      </c>
      <c r="B15" s="315">
        <f>COUNTIF('pow podst'!C3:C47,"K")</f>
        <v>15</v>
      </c>
      <c r="C15" s="97">
        <f>SUMIF('pow podst'!C3:C47,"K",'pow podst'!J3:J47)</f>
        <v>172260768.49000001</v>
      </c>
      <c r="D15" s="98">
        <f>SUMIF('pow podst'!C3:C47,"K",'pow podst'!L3:L47)</f>
        <v>85379687.699999958</v>
      </c>
      <c r="E15" s="36">
        <f>SUMIF('pow podst'!C3:C47,"K",'pow podst'!K3:K47)</f>
        <v>86881080.790000021</v>
      </c>
      <c r="F15" s="103">
        <f>SUMIF('pow podst'!$C$3:$C$47,"K",'pow podst'!N3:N47)</f>
        <v>22374806.900000002</v>
      </c>
      <c r="G15" s="97">
        <f>SUMIF('pow podst'!$C$3:$C$47,"K",'pow podst'!O3:O47)</f>
        <v>39821032.530000031</v>
      </c>
      <c r="H15" s="97">
        <f>SUMIF('pow podst'!$C$3:$C$47,"K",'pow podst'!P3:P47)</f>
        <v>16682844.9</v>
      </c>
      <c r="I15" s="97">
        <f>SUMIF('pow podst'!$C$3:$C$47,"K",'pow podst'!Q3:Q47)</f>
        <v>8002396.46</v>
      </c>
      <c r="J15" s="97">
        <f>SUMIF('pow podst'!$C$3:$C$47,"K",'pow podst'!R3:R47)</f>
        <v>0</v>
      </c>
      <c r="K15" s="97">
        <f>SUMIF('pow podst'!$C$3:$C$47,"K",'pow podst'!S3:S47)</f>
        <v>0</v>
      </c>
      <c r="L15" s="97">
        <f>SUMIF('pow podst'!$C$3:$C$47,"K",'pow podst'!T3:T47)</f>
        <v>0</v>
      </c>
      <c r="M15" s="97">
        <f>SUMIF('pow podst'!$C$3:$C$47,"K",'pow podst'!U3:U47)</f>
        <v>0</v>
      </c>
      <c r="N15" s="97">
        <f>SUMIF('pow podst'!$C$3:$C$47,"K",'pow podst'!V3:V47)</f>
        <v>0</v>
      </c>
      <c r="O15" s="104">
        <f>SUMIF('pow podst'!$C$3:$C$47,"K",'pow podst'!W3:W47)</f>
        <v>0</v>
      </c>
      <c r="P15" s="17" t="b">
        <f t="shared" ref="P15:P24" si="0">C15=(D15+E15)</f>
        <v>1</v>
      </c>
      <c r="Q15" s="32" t="b">
        <f t="shared" ref="Q15:Q21" si="1">E15=SUM(F15:O15)</f>
        <v>1</v>
      </c>
      <c r="R15" s="18"/>
      <c r="S15" s="18"/>
      <c r="T15" s="19"/>
      <c r="U15" s="19"/>
      <c r="V15" s="20"/>
      <c r="W15" s="9"/>
      <c r="X15" s="9"/>
    </row>
    <row r="16" spans="1:24" ht="39.950000000000003" customHeight="1">
      <c r="A16" s="64" t="s">
        <v>36</v>
      </c>
      <c r="B16" s="316">
        <f>COUNTIF('pow podst'!C3:C47,"N")</f>
        <v>20</v>
      </c>
      <c r="C16" s="99">
        <f>SUMIF('pow podst'!C3:C47,"N",'pow podst'!J3:J47)</f>
        <v>58984204.270000003</v>
      </c>
      <c r="D16" s="100">
        <f>SUMIF('pow podst'!C3:C47,"N",'pow podst'!L3:L47)</f>
        <v>25329516.999999996</v>
      </c>
      <c r="E16" s="35">
        <f>SUMIF('pow podst'!C3:C47,"N",'pow podst'!K3:K47)</f>
        <v>33654687.270000003</v>
      </c>
      <c r="F16" s="105">
        <f>SUMIF('pow podst'!$C$3:$C$47,"N",'pow podst'!N3:N47)</f>
        <v>0</v>
      </c>
      <c r="G16" s="99">
        <f>SUMIF('pow podst'!$C$3:$C$47,"N",'pow podst'!O3:O47)</f>
        <v>33654687.270000003</v>
      </c>
      <c r="H16" s="99">
        <f>SUMIF('pow podst'!$C$3:$C$47,"N",'pow podst'!P3:P47)</f>
        <v>0</v>
      </c>
      <c r="I16" s="99">
        <f>SUMIF('pow podst'!$C$3:$C$47,"N",'pow podst'!Q3:Q47)</f>
        <v>0</v>
      </c>
      <c r="J16" s="99">
        <f>SUMIF('pow podst'!$C$3:$C$47,"N",'pow podst'!R3:R47)</f>
        <v>0</v>
      </c>
      <c r="K16" s="99">
        <f>SUMIF('pow podst'!$C$3:$C$47,"N",'pow podst'!S3:S47)</f>
        <v>0</v>
      </c>
      <c r="L16" s="99">
        <f>SUMIF('pow podst'!$C$3:$C$47,"N",'pow podst'!T3:T47)</f>
        <v>0</v>
      </c>
      <c r="M16" s="99">
        <f>SUMIF('pow podst'!$C$3:$C$47,"N",'pow podst'!U3:U47)</f>
        <v>0</v>
      </c>
      <c r="N16" s="99">
        <f>SUMIF('pow podst'!$C$3:$C$47,"N",'pow podst'!V3:V47)</f>
        <v>0</v>
      </c>
      <c r="O16" s="106">
        <f>SUMIF('pow podst'!$C$3:$C$47,"N",'pow podst'!W3:W47)</f>
        <v>0</v>
      </c>
      <c r="P16" s="17" t="b">
        <f t="shared" si="0"/>
        <v>1</v>
      </c>
      <c r="Q16" s="32" t="b">
        <f t="shared" si="1"/>
        <v>1</v>
      </c>
      <c r="R16" s="18"/>
      <c r="S16" s="18"/>
      <c r="T16" s="19"/>
      <c r="U16" s="19"/>
      <c r="V16" s="20"/>
      <c r="W16" s="9"/>
      <c r="X16" s="9"/>
    </row>
    <row r="17" spans="1:24" ht="39.950000000000003" customHeight="1" thickBot="1">
      <c r="A17" s="65" t="s">
        <v>37</v>
      </c>
      <c r="B17" s="317">
        <f>COUNTIF('pow podst'!C3:C47,"W")</f>
        <v>8</v>
      </c>
      <c r="C17" s="101">
        <f>SUMIF('pow podst'!C18:C47,"W",'pow podst'!J18:J47)</f>
        <v>68858578.129999995</v>
      </c>
      <c r="D17" s="102">
        <f>SUMIF('pow podst'!C18:C47,"W",'pow podst'!L18:L47)</f>
        <v>33496910.789999992</v>
      </c>
      <c r="E17" s="66">
        <f>SUMIF('pow podst'!C18:C47,"W",'pow podst'!K18:K47)</f>
        <v>35361667.339999996</v>
      </c>
      <c r="F17" s="107">
        <f>SUMIF('pow podst'!$C$3:$C$47,"W",'pow podst'!N3:N47)</f>
        <v>0</v>
      </c>
      <c r="G17" s="101">
        <f>SUMIF('pow podst'!$C$3:$C$47,"W",'pow podst'!O3:O47)</f>
        <v>16315857.969999999</v>
      </c>
      <c r="H17" s="101">
        <f>SUMIF('pow podst'!$C$3:$C$47,"W",'pow podst'!P3:P47)</f>
        <v>17524894.370000001</v>
      </c>
      <c r="I17" s="101">
        <f>SUMIF('pow podst'!$C$3:$C$47,"W",'pow podst'!Q3:Q47)</f>
        <v>1520915</v>
      </c>
      <c r="J17" s="101">
        <f>SUMIF('pow podst'!$C$3:$C$47,"W",'pow podst'!R3:R47)</f>
        <v>0</v>
      </c>
      <c r="K17" s="101">
        <f>SUMIF('pow podst'!$C$3:$C$47,"W",'pow podst'!S3:S47)</f>
        <v>0</v>
      </c>
      <c r="L17" s="101">
        <f>SUMIF('pow podst'!$C$3:$C$47,"W",'pow podst'!T3:T47)</f>
        <v>0</v>
      </c>
      <c r="M17" s="101">
        <f>SUMIF('pow podst'!$C$3:$C$47,"W",'pow podst'!U3:U47)</f>
        <v>0</v>
      </c>
      <c r="N17" s="101">
        <f>SUMIF('pow podst'!$C$3:$C$47,"W",'pow podst'!V3:V47)</f>
        <v>0</v>
      </c>
      <c r="O17" s="108">
        <f>SUMIF('pow podst'!$C$3:$C$47,"W",'pow podst'!W3:W47)</f>
        <v>0</v>
      </c>
      <c r="P17" s="17" t="b">
        <f t="shared" si="0"/>
        <v>1</v>
      </c>
      <c r="Q17" s="32" t="b">
        <f t="shared" si="1"/>
        <v>1</v>
      </c>
      <c r="R17" s="18"/>
      <c r="S17" s="18"/>
      <c r="T17" s="19"/>
      <c r="U17" s="19"/>
      <c r="V17" s="20"/>
      <c r="W17" s="9"/>
      <c r="X17" s="9"/>
    </row>
    <row r="18" spans="1:24" ht="39.950000000000003" customHeight="1" thickTop="1">
      <c r="A18" s="57" t="s">
        <v>38</v>
      </c>
      <c r="B18" s="314">
        <f>COUNTA('gm podst'!L3:L86)</f>
        <v>79</v>
      </c>
      <c r="C18" s="58">
        <f>SUM('gm podst'!K3:K86)</f>
        <v>189891968.00999999</v>
      </c>
      <c r="D18" s="59">
        <f>SUM('gm podst'!M3:M86)</f>
        <v>84886261.880000025</v>
      </c>
      <c r="E18" s="60">
        <f>SUM('gm podst'!L3:L86)</f>
        <v>105005706.13</v>
      </c>
      <c r="F18" s="109">
        <f>SUM('gm podst'!O3:O86)</f>
        <v>6092613.1999999993</v>
      </c>
      <c r="G18" s="110">
        <f>SUM('gm podst'!P3:P86)</f>
        <v>70997675.400000006</v>
      </c>
      <c r="H18" s="110">
        <f>SUM('gm podst'!Q3:Q86)</f>
        <v>23527923.170000006</v>
      </c>
      <c r="I18" s="110">
        <f>SUM('gm podst'!R3:R86)</f>
        <v>4387494.3600000003</v>
      </c>
      <c r="J18" s="110">
        <f>SUM('gm podst'!S3:S86)</f>
        <v>0</v>
      </c>
      <c r="K18" s="110">
        <f>SUM('gm podst'!T3:T86)</f>
        <v>0</v>
      </c>
      <c r="L18" s="110">
        <f>SUM('gm podst'!U3:U86)</f>
        <v>0</v>
      </c>
      <c r="M18" s="110">
        <f>SUM('gm podst'!V3:V86)</f>
        <v>0</v>
      </c>
      <c r="N18" s="110">
        <f>SUM('gm podst'!W3:W86)</f>
        <v>0</v>
      </c>
      <c r="O18" s="111">
        <f>SUM('gm podst'!X3:X86)</f>
        <v>0</v>
      </c>
      <c r="P18" s="17" t="b">
        <f t="shared" si="0"/>
        <v>1</v>
      </c>
      <c r="Q18" s="32" t="b">
        <f t="shared" si="1"/>
        <v>1</v>
      </c>
      <c r="R18" s="18"/>
      <c r="S18" s="18"/>
      <c r="T18" s="19"/>
      <c r="U18" s="19"/>
      <c r="V18" s="19"/>
      <c r="W18" s="19"/>
      <c r="X18" s="19"/>
    </row>
    <row r="19" spans="1:24" ht="39.950000000000003" customHeight="1">
      <c r="A19" s="63" t="s">
        <v>35</v>
      </c>
      <c r="B19" s="315">
        <f>COUNTIF('gm podst'!C3:C86,"K")</f>
        <v>17</v>
      </c>
      <c r="C19" s="97">
        <f>SUMIF('gm podst'!C3:C86,"K",'gm podst'!K3:K86)</f>
        <v>57466910.43999999</v>
      </c>
      <c r="D19" s="98">
        <f>SUMIF('gm podst'!C3:C86,"K",'gm podst'!M3:M86)</f>
        <v>24148158.580000002</v>
      </c>
      <c r="E19" s="36">
        <f>SUMIF('gm podst'!C3:C86,"K",'gm podst'!L3:L86)</f>
        <v>33318751.859999999</v>
      </c>
      <c r="F19" s="103">
        <f>SUMIF('gm podst'!$C$3:$C$86,"K",'gm podst'!O3:O86)</f>
        <v>6092613.1999999993</v>
      </c>
      <c r="G19" s="97">
        <f>SUMIF('gm podst'!$C$3:$C$86,"K",'gm podst'!P3:P86)</f>
        <v>13680587.299999999</v>
      </c>
      <c r="H19" s="97">
        <f>SUMIF('gm podst'!$C$3:$C$86,"K",'gm podst'!Q3:Q86)</f>
        <v>11168313.200000001</v>
      </c>
      <c r="I19" s="97">
        <f>SUMIF('gm podst'!$C$3:$C$86,"K",'gm podst'!R3:R86)</f>
        <v>2377238.16</v>
      </c>
      <c r="J19" s="97">
        <f>SUMIF('gm podst'!$C$3:$C$86,"K",'gm podst'!S3:S86)</f>
        <v>0</v>
      </c>
      <c r="K19" s="97">
        <f>SUMIF('gm podst'!$C$3:$C$86,"K",'gm podst'!T3:T86)</f>
        <v>0</v>
      </c>
      <c r="L19" s="97">
        <f>SUMIF('gm podst'!$C$3:$C$86,"K",'gm podst'!U3:U86)</f>
        <v>0</v>
      </c>
      <c r="M19" s="97">
        <f>SUMIF('gm podst'!$C$3:$C$86,"K",'gm podst'!V3:V86)</f>
        <v>0</v>
      </c>
      <c r="N19" s="97">
        <f>SUMIF('gm podst'!$C$3:$C$86,"K",'gm podst'!W3:W86)</f>
        <v>0</v>
      </c>
      <c r="O19" s="104">
        <f>SUMIF('gm podst'!$C$3:$C$86,"K",'gm podst'!X3:X86)</f>
        <v>0</v>
      </c>
      <c r="P19" s="17" t="b">
        <f t="shared" si="0"/>
        <v>1</v>
      </c>
      <c r="Q19" s="32" t="b">
        <f t="shared" si="1"/>
        <v>1</v>
      </c>
      <c r="R19" s="18"/>
      <c r="S19" s="18"/>
      <c r="T19" s="19"/>
      <c r="U19" s="19"/>
      <c r="V19" s="19"/>
      <c r="W19" s="19"/>
      <c r="X19" s="19"/>
    </row>
    <row r="20" spans="1:24" ht="39.950000000000003" customHeight="1">
      <c r="A20" s="64" t="s">
        <v>36</v>
      </c>
      <c r="B20" s="316">
        <f>COUNTIF('gm podst'!C3:C86,"N")</f>
        <v>49</v>
      </c>
      <c r="C20" s="99">
        <f>SUMIF('gm podst'!C3:C86,"N",'gm podst'!K3:K86)</f>
        <v>78353091.460000038</v>
      </c>
      <c r="D20" s="100">
        <f>SUMIF('gm podst'!C3:C86,"N",'gm podst'!M3:M86)</f>
        <v>33500290.310000014</v>
      </c>
      <c r="E20" s="35">
        <f>SUMIF('gm podst'!C3:C86,"N",'gm podst'!L3:L86)</f>
        <v>44852801.150000006</v>
      </c>
      <c r="F20" s="105">
        <f>SUMIF('gm podst'!$C$3:$C$86,"N",'gm podst'!O3:O86)</f>
        <v>0</v>
      </c>
      <c r="G20" s="99">
        <f>SUMIF('gm podst'!$C$3:$C$86,"N",'gm podst'!P3:P86)</f>
        <v>44852801.150000006</v>
      </c>
      <c r="H20" s="99">
        <f>SUMIF('gm podst'!$C$3:$C$86,"N",'gm podst'!Q3:Q86)</f>
        <v>0</v>
      </c>
      <c r="I20" s="99">
        <f>SUMIF('gm podst'!$C$3:$C$86,"N",'gm podst'!R3:R86)</f>
        <v>0</v>
      </c>
      <c r="J20" s="99">
        <f>SUMIF('gm podst'!$C$3:$C$86,"N",'gm podst'!S3:S86)</f>
        <v>0</v>
      </c>
      <c r="K20" s="99">
        <f>SUMIF('gm podst'!$C$3:$C$86,"N",'gm podst'!T3:T86)</f>
        <v>0</v>
      </c>
      <c r="L20" s="99">
        <f>SUMIF('gm podst'!$C$3:$C$86,"N",'gm podst'!U3:U86)</f>
        <v>0</v>
      </c>
      <c r="M20" s="99">
        <f>SUMIF('gm podst'!$C$3:$C$86,"N",'gm podst'!V3:V86)</f>
        <v>0</v>
      </c>
      <c r="N20" s="99">
        <f>SUMIF('gm podst'!$C$3:$C$86,"N",'gm podst'!W3:W86)</f>
        <v>0</v>
      </c>
      <c r="O20" s="106">
        <f>SUMIF('gm podst'!$C$3:$C$86,"N",'gm podst'!X3:X86)</f>
        <v>0</v>
      </c>
      <c r="P20" s="17" t="b">
        <f t="shared" si="0"/>
        <v>1</v>
      </c>
      <c r="Q20" s="32" t="b">
        <f t="shared" si="1"/>
        <v>1</v>
      </c>
      <c r="R20" s="18"/>
      <c r="S20" s="18"/>
      <c r="T20" s="19"/>
      <c r="U20" s="19"/>
      <c r="V20" s="19"/>
      <c r="W20" s="19"/>
      <c r="X20" s="19"/>
    </row>
    <row r="21" spans="1:24" ht="39.950000000000003" customHeight="1" thickBot="1">
      <c r="A21" s="65" t="s">
        <v>37</v>
      </c>
      <c r="B21" s="317">
        <f>COUNTIF('gm podst'!C3:C86,"W")</f>
        <v>13</v>
      </c>
      <c r="C21" s="101">
        <f>SUMIF('gm podst'!C3:C86,"W",'gm podst'!K3:K86)</f>
        <v>54071966.109999999</v>
      </c>
      <c r="D21" s="102">
        <f>SUMIF('gm podst'!C3:C86,"W",'gm podst'!M3:M86)</f>
        <v>27237812.989999998</v>
      </c>
      <c r="E21" s="66">
        <f>SUMIF('gm podst'!C3:C86,"W",'gm podst'!L3:L86)</f>
        <v>26834153.120000001</v>
      </c>
      <c r="F21" s="107">
        <f>SUMIF('gm podst'!$C$3:$C$86,"W",'gm podst'!O3:O86)</f>
        <v>0</v>
      </c>
      <c r="G21" s="101">
        <f>SUMIF('gm podst'!$C$3:$C$86,"W",'gm podst'!P3:P86)</f>
        <v>12464286.950000001</v>
      </c>
      <c r="H21" s="101">
        <f>SUMIF('gm podst'!$C$3:$C$86,"W",'gm podst'!Q3:Q86)</f>
        <v>12359609.970000001</v>
      </c>
      <c r="I21" s="101">
        <f>SUMIF('gm podst'!$C$3:$C$86,"W",'gm podst'!R3:R86)</f>
        <v>2010256.2</v>
      </c>
      <c r="J21" s="101">
        <f>SUMIF('gm podst'!$C$3:$C$86,"W",'gm podst'!S3:S86)</f>
        <v>0</v>
      </c>
      <c r="K21" s="101">
        <f>SUMIF('gm podst'!$C$3:$C$86,"W",'gm podst'!T3:T86)</f>
        <v>0</v>
      </c>
      <c r="L21" s="101">
        <f>SUMIF('gm podst'!$C$3:$C$86,"W",'gm podst'!U3:U86)</f>
        <v>0</v>
      </c>
      <c r="M21" s="101">
        <f>SUMIF('gm podst'!$C$3:$C$86,"W",'gm podst'!V3:V86)</f>
        <v>0</v>
      </c>
      <c r="N21" s="101">
        <f>SUMIF('gm podst'!$C$3:$C$86,"W",'gm podst'!W3:W86)</f>
        <v>0</v>
      </c>
      <c r="O21" s="108">
        <f>SUMIF('gm podst'!$C$3:$C$86,"W",'gm podst'!X3:X86)</f>
        <v>0</v>
      </c>
      <c r="P21" s="17" t="b">
        <f t="shared" si="0"/>
        <v>1</v>
      </c>
      <c r="Q21" s="32" t="b">
        <f t="shared" si="1"/>
        <v>1</v>
      </c>
      <c r="R21" s="18"/>
      <c r="S21" s="18"/>
      <c r="T21" s="19"/>
      <c r="U21" s="19"/>
      <c r="V21" s="19"/>
      <c r="W21" s="19"/>
      <c r="X21" s="19"/>
    </row>
    <row r="22" spans="1:24" s="23" customFormat="1" ht="39.950000000000003" customHeight="1" thickTop="1">
      <c r="A22" s="67" t="s">
        <v>39</v>
      </c>
      <c r="B22" s="318">
        <f>B14+B18</f>
        <v>122</v>
      </c>
      <c r="C22" s="68">
        <f>C14+C18</f>
        <v>489995518.89999998</v>
      </c>
      <c r="D22" s="69">
        <f t="shared" ref="C22:O24" si="2">D14+D18</f>
        <v>229092377.37</v>
      </c>
      <c r="E22" s="70">
        <f t="shared" si="2"/>
        <v>260903141.53000003</v>
      </c>
      <c r="F22" s="71">
        <f t="shared" si="2"/>
        <v>28467420.100000001</v>
      </c>
      <c r="G22" s="68">
        <f>G14+G18</f>
        <v>160789253.17000002</v>
      </c>
      <c r="H22" s="68">
        <f t="shared" si="2"/>
        <v>57735662.439999998</v>
      </c>
      <c r="I22" s="68">
        <f t="shared" si="2"/>
        <v>13910805.82</v>
      </c>
      <c r="J22" s="68">
        <f t="shared" si="2"/>
        <v>0</v>
      </c>
      <c r="K22" s="68">
        <f t="shared" si="2"/>
        <v>0</v>
      </c>
      <c r="L22" s="68">
        <f t="shared" si="2"/>
        <v>0</v>
      </c>
      <c r="M22" s="68">
        <f t="shared" si="2"/>
        <v>0</v>
      </c>
      <c r="N22" s="68">
        <f t="shared" si="2"/>
        <v>0</v>
      </c>
      <c r="O22" s="72">
        <f t="shared" si="2"/>
        <v>0</v>
      </c>
      <c r="P22" s="17" t="b">
        <f t="shared" si="0"/>
        <v>1</v>
      </c>
      <c r="Q22" s="32" t="b">
        <f t="shared" ref="Q22:Q24" si="3">E22=SUM(F22:O22)</f>
        <v>1</v>
      </c>
      <c r="R22" s="21"/>
      <c r="S22" s="21"/>
      <c r="T22" s="22"/>
      <c r="U22" s="22"/>
      <c r="V22" s="22"/>
      <c r="W22" s="22"/>
      <c r="X22" s="22"/>
    </row>
    <row r="23" spans="1:24" s="23" customFormat="1" ht="39.950000000000003" customHeight="1">
      <c r="A23" s="73" t="s">
        <v>35</v>
      </c>
      <c r="B23" s="319">
        <f>B15+B19</f>
        <v>32</v>
      </c>
      <c r="C23" s="44">
        <f t="shared" si="2"/>
        <v>229727678.93000001</v>
      </c>
      <c r="D23" s="47">
        <f t="shared" si="2"/>
        <v>109527846.27999996</v>
      </c>
      <c r="E23" s="36">
        <f t="shared" si="2"/>
        <v>120199832.65000002</v>
      </c>
      <c r="F23" s="50">
        <f t="shared" si="2"/>
        <v>28467420.100000001</v>
      </c>
      <c r="G23" s="44">
        <f t="shared" si="2"/>
        <v>53501619.830000028</v>
      </c>
      <c r="H23" s="44">
        <f t="shared" si="2"/>
        <v>27851158.100000001</v>
      </c>
      <c r="I23" s="44">
        <f t="shared" si="2"/>
        <v>10379634.620000001</v>
      </c>
      <c r="J23" s="44">
        <f t="shared" si="2"/>
        <v>0</v>
      </c>
      <c r="K23" s="44">
        <f t="shared" si="2"/>
        <v>0</v>
      </c>
      <c r="L23" s="44">
        <f t="shared" si="2"/>
        <v>0</v>
      </c>
      <c r="M23" s="44">
        <f t="shared" si="2"/>
        <v>0</v>
      </c>
      <c r="N23" s="44">
        <f t="shared" si="2"/>
        <v>0</v>
      </c>
      <c r="O23" s="74">
        <f t="shared" si="2"/>
        <v>0</v>
      </c>
      <c r="P23" s="17" t="b">
        <f t="shared" si="0"/>
        <v>1</v>
      </c>
      <c r="Q23" s="32" t="b">
        <f t="shared" si="3"/>
        <v>1</v>
      </c>
      <c r="R23" s="21"/>
      <c r="S23" s="21"/>
      <c r="T23" s="22"/>
      <c r="U23" s="22"/>
      <c r="V23" s="22"/>
      <c r="W23" s="22"/>
      <c r="X23" s="22"/>
    </row>
    <row r="24" spans="1:24" s="23" customFormat="1" ht="39.950000000000003" customHeight="1">
      <c r="A24" s="75" t="s">
        <v>36</v>
      </c>
      <c r="B24" s="320">
        <f>B16+B20</f>
        <v>69</v>
      </c>
      <c r="C24" s="46">
        <f t="shared" si="2"/>
        <v>137337295.73000005</v>
      </c>
      <c r="D24" s="48">
        <f t="shared" si="2"/>
        <v>58829807.31000001</v>
      </c>
      <c r="E24" s="35">
        <f t="shared" si="2"/>
        <v>78507488.420000017</v>
      </c>
      <c r="F24" s="51">
        <f t="shared" si="2"/>
        <v>0</v>
      </c>
      <c r="G24" s="46">
        <f t="shared" si="2"/>
        <v>78507488.420000017</v>
      </c>
      <c r="H24" s="46">
        <f t="shared" si="2"/>
        <v>0</v>
      </c>
      <c r="I24" s="46">
        <f t="shared" si="2"/>
        <v>0</v>
      </c>
      <c r="J24" s="46">
        <f t="shared" si="2"/>
        <v>0</v>
      </c>
      <c r="K24" s="46">
        <f t="shared" si="2"/>
        <v>0</v>
      </c>
      <c r="L24" s="46">
        <f t="shared" si="2"/>
        <v>0</v>
      </c>
      <c r="M24" s="46">
        <f t="shared" si="2"/>
        <v>0</v>
      </c>
      <c r="N24" s="46">
        <f t="shared" si="2"/>
        <v>0</v>
      </c>
      <c r="O24" s="76">
        <f t="shared" si="2"/>
        <v>0</v>
      </c>
      <c r="P24" s="17" t="b">
        <f t="shared" si="0"/>
        <v>1</v>
      </c>
      <c r="Q24" s="32" t="b">
        <f t="shared" si="3"/>
        <v>1</v>
      </c>
      <c r="R24" s="21"/>
      <c r="S24" s="21"/>
      <c r="T24" s="22"/>
      <c r="U24" s="22"/>
      <c r="V24" s="22"/>
      <c r="W24" s="22"/>
      <c r="X24" s="22"/>
    </row>
    <row r="25" spans="1:24" s="23" customFormat="1" ht="39.950000000000003" customHeight="1" thickBot="1">
      <c r="A25" s="77" t="s">
        <v>37</v>
      </c>
      <c r="B25" s="321">
        <f>B17+B21</f>
        <v>21</v>
      </c>
      <c r="C25" s="78">
        <f t="shared" ref="C25:O25" si="4">C17+C21</f>
        <v>122930544.23999999</v>
      </c>
      <c r="D25" s="79">
        <f t="shared" si="4"/>
        <v>60734723.779999986</v>
      </c>
      <c r="E25" s="66">
        <f t="shared" si="4"/>
        <v>62195820.459999993</v>
      </c>
      <c r="F25" s="80">
        <f t="shared" si="4"/>
        <v>0</v>
      </c>
      <c r="G25" s="78">
        <f t="shared" si="4"/>
        <v>28780144.920000002</v>
      </c>
      <c r="H25" s="78">
        <f t="shared" si="4"/>
        <v>29884504.340000004</v>
      </c>
      <c r="I25" s="78">
        <f t="shared" si="4"/>
        <v>3531171.2</v>
      </c>
      <c r="J25" s="78">
        <f t="shared" si="4"/>
        <v>0</v>
      </c>
      <c r="K25" s="78">
        <f t="shared" si="4"/>
        <v>0</v>
      </c>
      <c r="L25" s="78">
        <f t="shared" si="4"/>
        <v>0</v>
      </c>
      <c r="M25" s="78">
        <f t="shared" si="4"/>
        <v>0</v>
      </c>
      <c r="N25" s="78">
        <f t="shared" si="4"/>
        <v>0</v>
      </c>
      <c r="O25" s="81">
        <f t="shared" si="4"/>
        <v>0</v>
      </c>
      <c r="P25" s="17" t="b">
        <f t="shared" ref="P25" si="5">C25=(D25+E25)</f>
        <v>1</v>
      </c>
      <c r="Q25" s="32" t="b">
        <f t="shared" ref="Q25" si="6">E25=SUM(F25:O25)</f>
        <v>1</v>
      </c>
      <c r="R25" s="21"/>
      <c r="S25" s="21"/>
      <c r="T25" s="22"/>
      <c r="U25" s="22"/>
      <c r="V25" s="22"/>
      <c r="W25" s="22"/>
      <c r="X25" s="22"/>
    </row>
    <row r="26" spans="1:24" ht="39.950000000000003" customHeight="1" thickTop="1">
      <c r="A26" s="57" t="s">
        <v>2</v>
      </c>
      <c r="B26" s="314">
        <f>COUNTA('pow rez'!K3:K12)</f>
        <v>0</v>
      </c>
      <c r="C26" s="58">
        <f>SUM('pow rez'!J3:J12)</f>
        <v>0</v>
      </c>
      <c r="D26" s="59">
        <f>SUM('pow rez'!L3:L12)</f>
        <v>0</v>
      </c>
      <c r="E26" s="60">
        <f>SUM('pow rez'!K3:K12)</f>
        <v>0</v>
      </c>
      <c r="F26" s="61">
        <f>SUM('pow rez'!N3:N12)</f>
        <v>0</v>
      </c>
      <c r="G26" s="58">
        <f>SUM('pow rez'!O3:O12)</f>
        <v>0</v>
      </c>
      <c r="H26" s="58">
        <f>SUM('pow rez'!P3:P12)</f>
        <v>0</v>
      </c>
      <c r="I26" s="58">
        <f>SUM('pow rez'!Q3:Q12)</f>
        <v>0</v>
      </c>
      <c r="J26" s="58">
        <f>SUM('pow rez'!R3:R12)</f>
        <v>0</v>
      </c>
      <c r="K26" s="58">
        <f>SUM('pow rez'!S3:S12)</f>
        <v>0</v>
      </c>
      <c r="L26" s="58">
        <f>SUM('pow rez'!T3:T12)</f>
        <v>0</v>
      </c>
      <c r="M26" s="58">
        <f>SUM('pow rez'!U3:U12)</f>
        <v>0</v>
      </c>
      <c r="N26" s="58">
        <f>SUM('pow rez'!V3:V12)</f>
        <v>0</v>
      </c>
      <c r="O26" s="62">
        <f>SUM('pow rez'!W3:W12)</f>
        <v>0</v>
      </c>
      <c r="P26" s="17" t="b">
        <f t="shared" ref="P26:P38" si="7">C26=(D26+E26)</f>
        <v>1</v>
      </c>
      <c r="Q26" s="32" t="b">
        <f t="shared" ref="Q26:Q38" si="8">E26=SUM(F26:O26)</f>
        <v>1</v>
      </c>
      <c r="R26" s="18"/>
      <c r="S26" s="18"/>
      <c r="T26" s="19"/>
      <c r="U26" s="19"/>
      <c r="V26" s="19"/>
      <c r="W26" s="19"/>
      <c r="X26" s="19"/>
    </row>
    <row r="27" spans="1:24" ht="39.950000000000003" customHeight="1">
      <c r="A27" s="64" t="s">
        <v>36</v>
      </c>
      <c r="B27" s="316">
        <f>COUNTIF('pow rez'!C3:C12,"N")</f>
        <v>0</v>
      </c>
      <c r="C27" s="99">
        <f>SUMIF('pow rez'!C3:C12,"N",'pow rez'!J3:J12)</f>
        <v>0</v>
      </c>
      <c r="D27" s="100">
        <f>SUMIF('pow rez'!C3:C12,"N",'pow rez'!L3:L12)</f>
        <v>0</v>
      </c>
      <c r="E27" s="35">
        <f>SUMIF('pow rez'!C3:C12,"N",'pow rez'!K3:K12)</f>
        <v>0</v>
      </c>
      <c r="F27" s="105">
        <f>SUMIF('pow rez'!$C$3:$C$12,"N",'pow rez'!N3:N12)</f>
        <v>0</v>
      </c>
      <c r="G27" s="99">
        <f>SUMIF('pow rez'!$C$3:$C$12,"N",'pow rez'!O3:O12)</f>
        <v>0</v>
      </c>
      <c r="H27" s="99">
        <f>SUMIF('pow rez'!$C$3:$C$12,"N",'pow rez'!P3:P12)</f>
        <v>0</v>
      </c>
      <c r="I27" s="99">
        <f>SUMIF('pow rez'!$C$3:$C$12,"N",'pow rez'!Q3:Q12)</f>
        <v>0</v>
      </c>
      <c r="J27" s="99">
        <f>SUMIF('pow rez'!$C$3:$C$12,"N",'pow rez'!R3:R12)</f>
        <v>0</v>
      </c>
      <c r="K27" s="99">
        <f>SUMIF('pow rez'!$C$3:$C$12,"N",'pow rez'!S3:S12)</f>
        <v>0</v>
      </c>
      <c r="L27" s="99">
        <f>SUMIF('pow rez'!$C$3:$C$12,"N",'pow rez'!T3:T12)</f>
        <v>0</v>
      </c>
      <c r="M27" s="99">
        <f>SUMIF('pow rez'!$C$3:$C$12,"N",'pow rez'!U3:U12)</f>
        <v>0</v>
      </c>
      <c r="N27" s="99">
        <f>SUMIF('pow rez'!$C$3:$C$12,"N",'pow rez'!V3:V12)</f>
        <v>0</v>
      </c>
      <c r="O27" s="106">
        <f>SUMIF('pow rez'!$C$3:$C$12,"N",'pow rez'!W3:W12)</f>
        <v>0</v>
      </c>
      <c r="P27" s="17" t="b">
        <f t="shared" si="7"/>
        <v>1</v>
      </c>
      <c r="Q27" s="32" t="b">
        <f t="shared" si="8"/>
        <v>1</v>
      </c>
      <c r="R27" s="18"/>
      <c r="S27" s="18"/>
      <c r="T27" s="19"/>
      <c r="U27" s="19"/>
      <c r="V27" s="19"/>
      <c r="W27" s="19"/>
      <c r="X27" s="19"/>
    </row>
    <row r="28" spans="1:24" ht="39.950000000000003" customHeight="1" thickBot="1">
      <c r="A28" s="65" t="s">
        <v>37</v>
      </c>
      <c r="B28" s="317">
        <f>COUNTIF('pow rez'!C3:C12,"W")</f>
        <v>0</v>
      </c>
      <c r="C28" s="101">
        <f>SUMIF('pow rez'!C3:C12,"W",'pow rez'!J3:J12)</f>
        <v>0</v>
      </c>
      <c r="D28" s="102">
        <f>SUMIF('pow rez'!C3:C12,"W",'pow rez'!L3:L12)</f>
        <v>0</v>
      </c>
      <c r="E28" s="66">
        <f>SUMIF('pow rez'!C3:C12,"W",'pow rez'!K3:K12)</f>
        <v>0</v>
      </c>
      <c r="F28" s="107">
        <f>SUMIF('pow rez'!$C$3:$C$12,"W",'pow rez'!N3:N12)</f>
        <v>0</v>
      </c>
      <c r="G28" s="101">
        <f>SUMIF('pow rez'!$C$3:$C$12,"W",'pow rez'!O3:O12)</f>
        <v>0</v>
      </c>
      <c r="H28" s="101">
        <f>SUMIF('pow rez'!$C$3:$C$12,"W",'pow rez'!P3:P12)</f>
        <v>0</v>
      </c>
      <c r="I28" s="101">
        <f>SUMIF('pow rez'!$C$3:$C$12,"W",'pow rez'!Q3:Q12)</f>
        <v>0</v>
      </c>
      <c r="J28" s="97">
        <f>SUMIF('pow rez'!$C$3:$C$12,"W",'pow rez'!R3:R12)</f>
        <v>0</v>
      </c>
      <c r="K28" s="101">
        <f>SUMIF('pow rez'!$C$3:$C$12,"W",'pow rez'!S3:S12)</f>
        <v>0</v>
      </c>
      <c r="L28" s="101">
        <f>SUMIF('pow rez'!$C$3:$C$12,"W",'pow rez'!T3:T12)</f>
        <v>0</v>
      </c>
      <c r="M28" s="101">
        <f>SUMIF('pow rez'!$C$3:$C$12,"W",'pow rez'!U3:U12)</f>
        <v>0</v>
      </c>
      <c r="N28" s="101">
        <f>SUMIF('pow rez'!$C$3:$C$12,"W",'pow rez'!V3:V12)</f>
        <v>0</v>
      </c>
      <c r="O28" s="108">
        <f>SUMIF('pow rez'!$C$3:$C$12,"W",'pow rez'!W3:W12)</f>
        <v>0</v>
      </c>
      <c r="P28" s="17" t="b">
        <f t="shared" si="7"/>
        <v>1</v>
      </c>
      <c r="Q28" s="32" t="b">
        <f t="shared" si="8"/>
        <v>1</v>
      </c>
      <c r="R28" s="18"/>
      <c r="S28" s="18"/>
      <c r="T28" s="19"/>
      <c r="U28" s="19"/>
      <c r="V28" s="19"/>
      <c r="W28" s="19"/>
      <c r="X28" s="19"/>
    </row>
    <row r="29" spans="1:24" ht="39.950000000000003" customHeight="1" thickTop="1">
      <c r="A29" s="57" t="s">
        <v>3</v>
      </c>
      <c r="B29" s="314">
        <f>COUNTA('gm rez'!L3:L20)</f>
        <v>0</v>
      </c>
      <c r="C29" s="58">
        <f>SUM('gm rez'!K3:K20)</f>
        <v>0</v>
      </c>
      <c r="D29" s="59">
        <f>SUM('gm rez'!M3:M20)</f>
        <v>0</v>
      </c>
      <c r="E29" s="60">
        <f>SUM('gm rez'!L3:L20)</f>
        <v>0</v>
      </c>
      <c r="F29" s="61">
        <f>SUM('gm rez'!O3:O20)</f>
        <v>0</v>
      </c>
      <c r="G29" s="58">
        <f>SUM('gm rez'!P3:P20)</f>
        <v>0</v>
      </c>
      <c r="H29" s="58">
        <f>SUM('gm rez'!Q3:Q20)</f>
        <v>0</v>
      </c>
      <c r="I29" s="58">
        <f>SUM('gm rez'!R3:R20)</f>
        <v>0</v>
      </c>
      <c r="J29" s="58">
        <f>SUM('gm rez'!S3:S20)</f>
        <v>0</v>
      </c>
      <c r="K29" s="58">
        <f>SUM('gm rez'!T3:T20)</f>
        <v>0</v>
      </c>
      <c r="L29" s="58">
        <f>SUM('gm rez'!U3:U20)</f>
        <v>0</v>
      </c>
      <c r="M29" s="58">
        <f>SUM('gm rez'!V3:V20)</f>
        <v>0</v>
      </c>
      <c r="N29" s="58">
        <f>SUM('gm rez'!W3:W20)</f>
        <v>0</v>
      </c>
      <c r="O29" s="62">
        <f>SUM('gm rez'!X3:X20)</f>
        <v>0</v>
      </c>
      <c r="P29" s="17" t="b">
        <f t="shared" si="7"/>
        <v>1</v>
      </c>
      <c r="Q29" s="32" t="b">
        <f t="shared" si="8"/>
        <v>1</v>
      </c>
      <c r="R29" s="24"/>
      <c r="S29" s="24"/>
      <c r="T29" s="25"/>
      <c r="U29" s="25"/>
      <c r="V29" s="20"/>
      <c r="W29" s="9"/>
      <c r="X29" s="9"/>
    </row>
    <row r="30" spans="1:24" ht="39.950000000000003" customHeight="1">
      <c r="A30" s="64" t="s">
        <v>36</v>
      </c>
      <c r="B30" s="316">
        <f>COUNTIF('gm rez'!C3:C20,"N")</f>
        <v>0</v>
      </c>
      <c r="C30" s="99">
        <f>SUMIF('gm rez'!C3:C20,"N",'gm rez'!K3:K20)</f>
        <v>0</v>
      </c>
      <c r="D30" s="100">
        <f>SUMIF('gm rez'!C3:C20,"N",'gm rez'!M3:M20)</f>
        <v>0</v>
      </c>
      <c r="E30" s="35">
        <f>SUMIF('gm rez'!C3:C20,"N",'gm rez'!L3:L20)</f>
        <v>0</v>
      </c>
      <c r="F30" s="105">
        <f>SUMIF('gm rez'!C3:C20,"N",'gm rez'!O3:O20)</f>
        <v>0</v>
      </c>
      <c r="G30" s="99">
        <f>SUMIF('gm rez'!C3:C20,"N",'gm rez'!P3:P20)</f>
        <v>0</v>
      </c>
      <c r="H30" s="99">
        <f>SUMIF('gm rez'!C3:C20,"N",'gm rez'!Q3:Q20)</f>
        <v>0</v>
      </c>
      <c r="I30" s="99">
        <f>SUMIF('gm rez'!D3:D20,"N",'gm rez'!R3:R20)</f>
        <v>0</v>
      </c>
      <c r="J30" s="99">
        <f>SUMIF('gm rez'!E3:E20,"N",'gm rez'!S3:S20)</f>
        <v>0</v>
      </c>
      <c r="K30" s="99">
        <f>SUMIF('gm rez'!F3:F20,"N",'gm rez'!T3:T20)</f>
        <v>0</v>
      </c>
      <c r="L30" s="99">
        <f>SUMIF('gm rez'!G3:G20,"N",'gm rez'!U3:U20)</f>
        <v>0</v>
      </c>
      <c r="M30" s="99">
        <f>SUMIF('gm rez'!H3:H20,"N",'gm rez'!V3:V20)</f>
        <v>0</v>
      </c>
      <c r="N30" s="99">
        <f>SUMIF('gm rez'!I3:I20,"N",'gm rez'!W3:W20)</f>
        <v>0</v>
      </c>
      <c r="O30" s="106">
        <f>SUMIF('gm rez'!J3:J20,"N",'gm rez'!X3:X20)</f>
        <v>0</v>
      </c>
      <c r="P30" s="17" t="b">
        <f t="shared" si="7"/>
        <v>1</v>
      </c>
      <c r="Q30" s="32" t="b">
        <f t="shared" si="8"/>
        <v>1</v>
      </c>
      <c r="R30" s="24"/>
      <c r="S30" s="24"/>
      <c r="T30" s="25"/>
      <c r="U30" s="25"/>
      <c r="V30" s="20"/>
      <c r="W30" s="9"/>
      <c r="X30" s="9"/>
    </row>
    <row r="31" spans="1:24" ht="39.950000000000003" customHeight="1" thickBot="1">
      <c r="A31" s="65" t="s">
        <v>37</v>
      </c>
      <c r="B31" s="317">
        <f>COUNTIF('gm rez'!C3:C20,"W")</f>
        <v>0</v>
      </c>
      <c r="C31" s="101">
        <f>SUMIF('gm rez'!C3:C20,"W",'gm rez'!K3:K20)</f>
        <v>0</v>
      </c>
      <c r="D31" s="102">
        <f>SUMIF('gm rez'!C3:C20,"W",'gm rez'!M3:M20)</f>
        <v>0</v>
      </c>
      <c r="E31" s="66">
        <f>SUMIF('gm rez'!C3:C20,"W",'gm rez'!L3:L20)</f>
        <v>0</v>
      </c>
      <c r="F31" s="107">
        <f>SUMIF('gm rez'!C3:C20,"W",'gm rez'!O3:O20)</f>
        <v>0</v>
      </c>
      <c r="G31" s="101">
        <f>SUMIF('gm rez'!C3:C20,"W",'gm rez'!P3:P20)</f>
        <v>0</v>
      </c>
      <c r="H31" s="101">
        <f>SUMIF('gm rez'!C3:C20,"W",'gm rez'!Q3:Q20)</f>
        <v>0</v>
      </c>
      <c r="I31" s="101">
        <f>SUMIF('gm rez'!C3:C20,"W",'gm rez'!R3:R20)</f>
        <v>0</v>
      </c>
      <c r="J31" s="101">
        <f>SUMIF('gm rez'!E3:E20,"W",'gm rez'!S3:S20)</f>
        <v>0</v>
      </c>
      <c r="K31" s="101">
        <f>SUMIF('gm rez'!F3:F20,"W",'gm rez'!T3:T20)</f>
        <v>0</v>
      </c>
      <c r="L31" s="101">
        <f>SUMIF('gm rez'!G3:G20,"W",'gm rez'!U3:U20)</f>
        <v>0</v>
      </c>
      <c r="M31" s="101">
        <f>SUMIF('gm rez'!H3:H20,"W",'gm rez'!V3:V20)</f>
        <v>0</v>
      </c>
      <c r="N31" s="101">
        <f>SUMIF('gm rez'!I3:I20,"W",'gm rez'!W3:W20)</f>
        <v>0</v>
      </c>
      <c r="O31" s="108">
        <f>SUMIF('gm rez'!J3:J20,"W",'gm rez'!X3:X20)</f>
        <v>0</v>
      </c>
      <c r="P31" s="17" t="b">
        <f t="shared" si="7"/>
        <v>1</v>
      </c>
      <c r="Q31" s="32" t="b">
        <f t="shared" si="8"/>
        <v>1</v>
      </c>
      <c r="R31" s="24"/>
      <c r="S31" s="24"/>
      <c r="T31" s="25"/>
      <c r="U31" s="25"/>
      <c r="V31" s="20"/>
      <c r="W31" s="9"/>
      <c r="X31" s="9"/>
    </row>
    <row r="32" spans="1:24" ht="39.950000000000003" customHeight="1" thickTop="1">
      <c r="A32" s="305" t="s">
        <v>806</v>
      </c>
      <c r="B32" s="322">
        <f>B26+B29</f>
        <v>0</v>
      </c>
      <c r="C32" s="82">
        <f t="shared" ref="C32:O32" si="9">C26+C29</f>
        <v>0</v>
      </c>
      <c r="D32" s="83">
        <f t="shared" si="9"/>
        <v>0</v>
      </c>
      <c r="E32" s="56">
        <f t="shared" si="9"/>
        <v>0</v>
      </c>
      <c r="F32" s="84">
        <f t="shared" si="9"/>
        <v>0</v>
      </c>
      <c r="G32" s="82">
        <f>G26+G29</f>
        <v>0</v>
      </c>
      <c r="H32" s="82">
        <f t="shared" si="9"/>
        <v>0</v>
      </c>
      <c r="I32" s="82">
        <f t="shared" si="9"/>
        <v>0</v>
      </c>
      <c r="J32" s="82">
        <f t="shared" si="9"/>
        <v>0</v>
      </c>
      <c r="K32" s="82">
        <f t="shared" si="9"/>
        <v>0</v>
      </c>
      <c r="L32" s="82">
        <f t="shared" si="9"/>
        <v>0</v>
      </c>
      <c r="M32" s="82">
        <f t="shared" si="9"/>
        <v>0</v>
      </c>
      <c r="N32" s="82">
        <f t="shared" si="9"/>
        <v>0</v>
      </c>
      <c r="O32" s="299">
        <f t="shared" si="9"/>
        <v>0</v>
      </c>
      <c r="P32" s="17" t="b">
        <f t="shared" si="7"/>
        <v>1</v>
      </c>
      <c r="Q32" s="32" t="b">
        <f t="shared" si="8"/>
        <v>1</v>
      </c>
      <c r="R32" s="26"/>
      <c r="S32" s="26"/>
      <c r="T32" s="2"/>
      <c r="U32" s="2"/>
    </row>
    <row r="33" spans="1:21" ht="39.950000000000003" customHeight="1">
      <c r="A33" s="306" t="s">
        <v>36</v>
      </c>
      <c r="B33" s="323">
        <f t="shared" ref="B33:O33" si="10">B27+B30</f>
        <v>0</v>
      </c>
      <c r="C33" s="45">
        <f t="shared" si="10"/>
        <v>0</v>
      </c>
      <c r="D33" s="49">
        <f t="shared" si="10"/>
        <v>0</v>
      </c>
      <c r="E33" s="35">
        <f t="shared" si="10"/>
        <v>0</v>
      </c>
      <c r="F33" s="52">
        <f t="shared" si="10"/>
        <v>0</v>
      </c>
      <c r="G33" s="45">
        <f t="shared" si="10"/>
        <v>0</v>
      </c>
      <c r="H33" s="45">
        <f t="shared" si="10"/>
        <v>0</v>
      </c>
      <c r="I33" s="45">
        <f t="shared" si="10"/>
        <v>0</v>
      </c>
      <c r="J33" s="45">
        <f>J27+J30</f>
        <v>0</v>
      </c>
      <c r="K33" s="45">
        <f t="shared" si="10"/>
        <v>0</v>
      </c>
      <c r="L33" s="45">
        <f t="shared" si="10"/>
        <v>0</v>
      </c>
      <c r="M33" s="45">
        <f t="shared" si="10"/>
        <v>0</v>
      </c>
      <c r="N33" s="45">
        <f t="shared" si="10"/>
        <v>0</v>
      </c>
      <c r="O33" s="300">
        <f t="shared" si="10"/>
        <v>0</v>
      </c>
      <c r="P33" s="17" t="b">
        <f t="shared" si="7"/>
        <v>1</v>
      </c>
      <c r="Q33" s="32" t="b">
        <f t="shared" si="8"/>
        <v>1</v>
      </c>
      <c r="R33" s="26"/>
      <c r="S33" s="26"/>
      <c r="T33" s="2"/>
      <c r="U33" s="2"/>
    </row>
    <row r="34" spans="1:21" ht="39.950000000000003" customHeight="1" thickBot="1">
      <c r="A34" s="307" t="s">
        <v>37</v>
      </c>
      <c r="B34" s="324">
        <f t="shared" ref="B34:O34" si="11">B28+B31</f>
        <v>0</v>
      </c>
      <c r="C34" s="85">
        <f t="shared" si="11"/>
        <v>0</v>
      </c>
      <c r="D34" s="86">
        <f t="shared" si="11"/>
        <v>0</v>
      </c>
      <c r="E34" s="87">
        <f t="shared" si="11"/>
        <v>0</v>
      </c>
      <c r="F34" s="88">
        <f t="shared" si="11"/>
        <v>0</v>
      </c>
      <c r="G34" s="85">
        <f t="shared" si="11"/>
        <v>0</v>
      </c>
      <c r="H34" s="85">
        <f t="shared" si="11"/>
        <v>0</v>
      </c>
      <c r="I34" s="85">
        <f t="shared" si="11"/>
        <v>0</v>
      </c>
      <c r="J34" s="85">
        <f>J28+J31</f>
        <v>0</v>
      </c>
      <c r="K34" s="85">
        <f t="shared" si="11"/>
        <v>0</v>
      </c>
      <c r="L34" s="85">
        <f t="shared" si="11"/>
        <v>0</v>
      </c>
      <c r="M34" s="85">
        <f t="shared" si="11"/>
        <v>0</v>
      </c>
      <c r="N34" s="85">
        <f t="shared" si="11"/>
        <v>0</v>
      </c>
      <c r="O34" s="301">
        <f t="shared" si="11"/>
        <v>0</v>
      </c>
      <c r="P34" s="17" t="b">
        <f t="shared" si="7"/>
        <v>1</v>
      </c>
      <c r="Q34" s="32" t="b">
        <f t="shared" si="8"/>
        <v>1</v>
      </c>
      <c r="R34" s="26"/>
      <c r="S34" s="26"/>
      <c r="T34" s="2"/>
      <c r="U34" s="2"/>
    </row>
    <row r="35" spans="1:21" ht="39.950000000000003" customHeight="1" thickTop="1">
      <c r="A35" s="89" t="s">
        <v>807</v>
      </c>
      <c r="B35" s="325">
        <f>B22+B32</f>
        <v>122</v>
      </c>
      <c r="C35" s="90">
        <f t="shared" ref="C35:O35" si="12">C22+C32</f>
        <v>489995518.89999998</v>
      </c>
      <c r="D35" s="91">
        <f t="shared" si="12"/>
        <v>229092377.37</v>
      </c>
      <c r="E35" s="166">
        <f t="shared" si="12"/>
        <v>260903141.53000003</v>
      </c>
      <c r="F35" s="92">
        <f t="shared" si="12"/>
        <v>28467420.100000001</v>
      </c>
      <c r="G35" s="90">
        <f t="shared" si="12"/>
        <v>160789253.17000002</v>
      </c>
      <c r="H35" s="90">
        <f t="shared" si="12"/>
        <v>57735662.439999998</v>
      </c>
      <c r="I35" s="90">
        <f t="shared" si="12"/>
        <v>13910805.82</v>
      </c>
      <c r="J35" s="90">
        <f t="shared" si="12"/>
        <v>0</v>
      </c>
      <c r="K35" s="90">
        <f t="shared" si="12"/>
        <v>0</v>
      </c>
      <c r="L35" s="90">
        <f t="shared" si="12"/>
        <v>0</v>
      </c>
      <c r="M35" s="90">
        <f t="shared" si="12"/>
        <v>0</v>
      </c>
      <c r="N35" s="90">
        <f t="shared" si="12"/>
        <v>0</v>
      </c>
      <c r="O35" s="93">
        <f t="shared" si="12"/>
        <v>0</v>
      </c>
      <c r="P35" s="17" t="b">
        <f t="shared" si="7"/>
        <v>1</v>
      </c>
      <c r="Q35" s="32" t="b">
        <f t="shared" si="8"/>
        <v>1</v>
      </c>
      <c r="R35" s="26"/>
      <c r="S35" s="26"/>
      <c r="T35" s="2"/>
      <c r="U35" s="2"/>
    </row>
    <row r="36" spans="1:21" ht="39.950000000000003" customHeight="1">
      <c r="A36" s="210" t="s">
        <v>35</v>
      </c>
      <c r="B36" s="326">
        <f>B23</f>
        <v>32</v>
      </c>
      <c r="C36" s="211">
        <f t="shared" ref="C36:O36" si="13">C23</f>
        <v>229727678.93000001</v>
      </c>
      <c r="D36" s="211">
        <f t="shared" si="13"/>
        <v>109527846.27999996</v>
      </c>
      <c r="E36" s="211">
        <f t="shared" si="13"/>
        <v>120199832.65000002</v>
      </c>
      <c r="F36" s="211">
        <f t="shared" si="13"/>
        <v>28467420.100000001</v>
      </c>
      <c r="G36" s="211">
        <f t="shared" si="13"/>
        <v>53501619.830000028</v>
      </c>
      <c r="H36" s="211">
        <f t="shared" si="13"/>
        <v>27851158.100000001</v>
      </c>
      <c r="I36" s="211">
        <f t="shared" si="13"/>
        <v>10379634.620000001</v>
      </c>
      <c r="J36" s="211">
        <f t="shared" si="13"/>
        <v>0</v>
      </c>
      <c r="K36" s="211">
        <f t="shared" si="13"/>
        <v>0</v>
      </c>
      <c r="L36" s="211">
        <f t="shared" si="13"/>
        <v>0</v>
      </c>
      <c r="M36" s="211">
        <f t="shared" si="13"/>
        <v>0</v>
      </c>
      <c r="N36" s="211">
        <f t="shared" si="13"/>
        <v>0</v>
      </c>
      <c r="O36" s="302">
        <f t="shared" si="13"/>
        <v>0</v>
      </c>
      <c r="P36" s="17" t="b">
        <f t="shared" si="7"/>
        <v>1</v>
      </c>
      <c r="Q36" s="32" t="b">
        <f t="shared" si="8"/>
        <v>1</v>
      </c>
      <c r="R36" s="26"/>
      <c r="S36" s="26"/>
      <c r="T36" s="2"/>
      <c r="U36" s="2"/>
    </row>
    <row r="37" spans="1:21" ht="39.950000000000003" customHeight="1">
      <c r="A37" s="209" t="s">
        <v>36</v>
      </c>
      <c r="B37" s="327">
        <f>B24+B33</f>
        <v>69</v>
      </c>
      <c r="C37" s="208">
        <f t="shared" ref="C37:O38" si="14">C24+C33</f>
        <v>137337295.73000005</v>
      </c>
      <c r="D37" s="208">
        <f t="shared" si="14"/>
        <v>58829807.31000001</v>
      </c>
      <c r="E37" s="208">
        <f t="shared" si="14"/>
        <v>78507488.420000017</v>
      </c>
      <c r="F37" s="208">
        <f t="shared" si="14"/>
        <v>0</v>
      </c>
      <c r="G37" s="208">
        <f t="shared" si="14"/>
        <v>78507488.420000017</v>
      </c>
      <c r="H37" s="208">
        <f t="shared" si="14"/>
        <v>0</v>
      </c>
      <c r="I37" s="208">
        <f t="shared" si="14"/>
        <v>0</v>
      </c>
      <c r="J37" s="208">
        <f t="shared" si="14"/>
        <v>0</v>
      </c>
      <c r="K37" s="208">
        <f t="shared" si="14"/>
        <v>0</v>
      </c>
      <c r="L37" s="208">
        <f t="shared" si="14"/>
        <v>0</v>
      </c>
      <c r="M37" s="208">
        <f t="shared" si="14"/>
        <v>0</v>
      </c>
      <c r="N37" s="208">
        <f t="shared" si="14"/>
        <v>0</v>
      </c>
      <c r="O37" s="303">
        <f t="shared" si="14"/>
        <v>0</v>
      </c>
      <c r="P37" s="17" t="b">
        <f t="shared" si="7"/>
        <v>1</v>
      </c>
      <c r="Q37" s="32" t="b">
        <f t="shared" si="8"/>
        <v>1</v>
      </c>
      <c r="R37" s="26"/>
      <c r="S37" s="26"/>
      <c r="T37" s="2"/>
      <c r="U37" s="2"/>
    </row>
    <row r="38" spans="1:21" ht="39.950000000000003" customHeight="1" thickBot="1">
      <c r="A38" s="94" t="s">
        <v>37</v>
      </c>
      <c r="B38" s="328">
        <f>B25+B34</f>
        <v>21</v>
      </c>
      <c r="C38" s="95">
        <f t="shared" si="14"/>
        <v>122930544.23999999</v>
      </c>
      <c r="D38" s="95">
        <f t="shared" si="14"/>
        <v>60734723.779999986</v>
      </c>
      <c r="E38" s="95">
        <f t="shared" si="14"/>
        <v>62195820.459999993</v>
      </c>
      <c r="F38" s="95">
        <f t="shared" si="14"/>
        <v>0</v>
      </c>
      <c r="G38" s="95">
        <f t="shared" si="14"/>
        <v>28780144.920000002</v>
      </c>
      <c r="H38" s="95">
        <f t="shared" si="14"/>
        <v>29884504.340000004</v>
      </c>
      <c r="I38" s="95">
        <f t="shared" si="14"/>
        <v>3531171.2</v>
      </c>
      <c r="J38" s="95">
        <f t="shared" si="14"/>
        <v>0</v>
      </c>
      <c r="K38" s="95">
        <f t="shared" si="14"/>
        <v>0</v>
      </c>
      <c r="L38" s="95">
        <f t="shared" si="14"/>
        <v>0</v>
      </c>
      <c r="M38" s="95">
        <f t="shared" si="14"/>
        <v>0</v>
      </c>
      <c r="N38" s="95">
        <f t="shared" si="14"/>
        <v>0</v>
      </c>
      <c r="O38" s="304">
        <f t="shared" si="14"/>
        <v>0</v>
      </c>
      <c r="P38" s="17" t="b">
        <f t="shared" si="7"/>
        <v>1</v>
      </c>
      <c r="Q38" s="32" t="b">
        <f t="shared" si="8"/>
        <v>1</v>
      </c>
      <c r="R38" s="26"/>
      <c r="S38" s="26"/>
      <c r="T38" s="2"/>
      <c r="U38" s="2"/>
    </row>
    <row r="39" spans="1:21" ht="15.75" thickTop="1">
      <c r="A39" s="27"/>
      <c r="B39" s="329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6"/>
      <c r="S39" s="26"/>
      <c r="T39" s="2"/>
      <c r="U39" s="2"/>
    </row>
    <row r="40" spans="1:21">
      <c r="A40" s="27"/>
      <c r="B40" s="329" t="b">
        <f>B35=B36+B37+B38</f>
        <v>1</v>
      </c>
      <c r="C40" s="27" t="b">
        <f t="shared" ref="C40:O40" si="15">C35=C36+C37+C38</f>
        <v>1</v>
      </c>
      <c r="D40" s="27" t="b">
        <f t="shared" si="15"/>
        <v>1</v>
      </c>
      <c r="E40" s="27" t="b">
        <f t="shared" si="15"/>
        <v>1</v>
      </c>
      <c r="F40" s="27" t="b">
        <f t="shared" si="15"/>
        <v>1</v>
      </c>
      <c r="G40" s="27" t="b">
        <f t="shared" si="15"/>
        <v>1</v>
      </c>
      <c r="H40" s="27" t="b">
        <f t="shared" si="15"/>
        <v>1</v>
      </c>
      <c r="I40" s="27" t="b">
        <f t="shared" si="15"/>
        <v>1</v>
      </c>
      <c r="J40" s="27" t="b">
        <f t="shared" si="15"/>
        <v>1</v>
      </c>
      <c r="K40" s="27" t="b">
        <f t="shared" si="15"/>
        <v>1</v>
      </c>
      <c r="L40" s="27" t="b">
        <f t="shared" si="15"/>
        <v>1</v>
      </c>
      <c r="M40" s="27" t="b">
        <f t="shared" si="15"/>
        <v>1</v>
      </c>
      <c r="N40" s="27" t="b">
        <f t="shared" si="15"/>
        <v>1</v>
      </c>
      <c r="O40" s="27" t="b">
        <f t="shared" si="15"/>
        <v>1</v>
      </c>
      <c r="P40" s="27"/>
      <c r="Q40" s="27"/>
      <c r="R40" s="26"/>
      <c r="S40" s="26"/>
      <c r="T40" s="2"/>
      <c r="U40" s="2"/>
    </row>
    <row r="41" spans="1:21">
      <c r="A41" s="27"/>
      <c r="B41" s="329" t="b">
        <f>B23=B36</f>
        <v>1</v>
      </c>
      <c r="C41" s="27" t="b">
        <f t="shared" ref="C41:O41" si="16">C23=C36</f>
        <v>1</v>
      </c>
      <c r="D41" s="27" t="b">
        <f t="shared" si="16"/>
        <v>1</v>
      </c>
      <c r="E41" s="27" t="b">
        <f t="shared" si="16"/>
        <v>1</v>
      </c>
      <c r="F41" s="27" t="b">
        <f t="shared" si="16"/>
        <v>1</v>
      </c>
      <c r="G41" s="27" t="b">
        <f t="shared" si="16"/>
        <v>1</v>
      </c>
      <c r="H41" s="27" t="b">
        <f t="shared" si="16"/>
        <v>1</v>
      </c>
      <c r="I41" s="27" t="b">
        <f t="shared" si="16"/>
        <v>1</v>
      </c>
      <c r="J41" s="27" t="b">
        <f t="shared" si="16"/>
        <v>1</v>
      </c>
      <c r="K41" s="27" t="b">
        <f t="shared" si="16"/>
        <v>1</v>
      </c>
      <c r="L41" s="27" t="b">
        <f t="shared" si="16"/>
        <v>1</v>
      </c>
      <c r="M41" s="27" t="b">
        <f t="shared" si="16"/>
        <v>1</v>
      </c>
      <c r="N41" s="27" t="b">
        <f t="shared" si="16"/>
        <v>1</v>
      </c>
      <c r="O41" s="27" t="b">
        <f t="shared" si="16"/>
        <v>1</v>
      </c>
      <c r="P41" s="27"/>
      <c r="Q41" s="27"/>
      <c r="R41" s="26"/>
      <c r="S41" s="26"/>
      <c r="T41" s="2"/>
      <c r="U41" s="2"/>
    </row>
    <row r="42" spans="1:21">
      <c r="A42" s="27"/>
      <c r="B42" s="329" t="b">
        <f>B16+B20+B27+B30=B37</f>
        <v>1</v>
      </c>
      <c r="C42" s="27" t="b">
        <f t="shared" ref="C42:O43" si="17">C16+C20+C27+C30=C37</f>
        <v>1</v>
      </c>
      <c r="D42" s="27" t="b">
        <f t="shared" si="17"/>
        <v>1</v>
      </c>
      <c r="E42" s="27" t="b">
        <f t="shared" si="17"/>
        <v>1</v>
      </c>
      <c r="F42" s="27" t="b">
        <f t="shared" si="17"/>
        <v>1</v>
      </c>
      <c r="G42" s="27" t="b">
        <f t="shared" si="17"/>
        <v>1</v>
      </c>
      <c r="H42" s="27" t="b">
        <f t="shared" si="17"/>
        <v>1</v>
      </c>
      <c r="I42" s="27" t="b">
        <f t="shared" si="17"/>
        <v>1</v>
      </c>
      <c r="J42" s="27" t="b">
        <f t="shared" si="17"/>
        <v>1</v>
      </c>
      <c r="K42" s="27" t="b">
        <f t="shared" si="17"/>
        <v>1</v>
      </c>
      <c r="L42" s="27" t="b">
        <f t="shared" si="17"/>
        <v>1</v>
      </c>
      <c r="M42" s="27" t="b">
        <f t="shared" si="17"/>
        <v>1</v>
      </c>
      <c r="N42" s="27" t="b">
        <f t="shared" si="17"/>
        <v>1</v>
      </c>
      <c r="O42" s="27" t="b">
        <f t="shared" si="17"/>
        <v>1</v>
      </c>
      <c r="P42" s="27"/>
      <c r="Q42" s="27"/>
      <c r="R42" s="26"/>
      <c r="S42" s="26"/>
      <c r="T42" s="2"/>
      <c r="U42" s="2"/>
    </row>
    <row r="43" spans="1:21">
      <c r="A43" s="28"/>
      <c r="B43" s="330" t="b">
        <f>B17+B21+B28+B31=B38</f>
        <v>1</v>
      </c>
      <c r="C43" s="28" t="b">
        <f t="shared" si="17"/>
        <v>1</v>
      </c>
      <c r="D43" s="28" t="b">
        <f t="shared" si="17"/>
        <v>1</v>
      </c>
      <c r="E43" s="28" t="b">
        <f t="shared" si="17"/>
        <v>1</v>
      </c>
      <c r="F43" s="28" t="b">
        <f t="shared" si="17"/>
        <v>1</v>
      </c>
      <c r="G43" s="28" t="b">
        <f t="shared" si="17"/>
        <v>1</v>
      </c>
      <c r="H43" s="28" t="b">
        <f t="shared" si="17"/>
        <v>1</v>
      </c>
      <c r="I43" s="28" t="b">
        <f t="shared" si="17"/>
        <v>1</v>
      </c>
      <c r="J43" s="28" t="b">
        <f t="shared" si="17"/>
        <v>1</v>
      </c>
      <c r="K43" s="28" t="b">
        <f t="shared" si="17"/>
        <v>1</v>
      </c>
      <c r="L43" s="28" t="b">
        <f t="shared" si="17"/>
        <v>1</v>
      </c>
      <c r="M43" s="28" t="b">
        <f t="shared" si="17"/>
        <v>1</v>
      </c>
      <c r="N43" s="28" t="b">
        <f t="shared" si="17"/>
        <v>1</v>
      </c>
      <c r="O43" s="28" t="b">
        <f t="shared" si="17"/>
        <v>1</v>
      </c>
      <c r="P43" s="28"/>
      <c r="Q43" s="28"/>
      <c r="R43" s="2"/>
      <c r="S43" s="2"/>
      <c r="T43" s="2"/>
      <c r="U43" s="2"/>
    </row>
    <row r="44" spans="1:21">
      <c r="A44" s="28"/>
      <c r="B44" s="330" t="b">
        <f>B14=B15+B16+B17</f>
        <v>1</v>
      </c>
      <c r="C44" s="330" t="b">
        <f t="shared" ref="C44:O44" si="18">C14=C15+C16+C17</f>
        <v>1</v>
      </c>
      <c r="D44" s="330" t="b">
        <f t="shared" si="18"/>
        <v>1</v>
      </c>
      <c r="E44" s="330" t="b">
        <f t="shared" si="18"/>
        <v>1</v>
      </c>
      <c r="F44" s="330" t="b">
        <f t="shared" si="18"/>
        <v>1</v>
      </c>
      <c r="G44" s="330" t="b">
        <f t="shared" si="18"/>
        <v>1</v>
      </c>
      <c r="H44" s="330" t="b">
        <f t="shared" si="18"/>
        <v>1</v>
      </c>
      <c r="I44" s="330" t="b">
        <f t="shared" si="18"/>
        <v>1</v>
      </c>
      <c r="J44" s="330" t="b">
        <f t="shared" si="18"/>
        <v>1</v>
      </c>
      <c r="K44" s="330" t="b">
        <f t="shared" si="18"/>
        <v>1</v>
      </c>
      <c r="L44" s="330" t="b">
        <f t="shared" si="18"/>
        <v>1</v>
      </c>
      <c r="M44" s="330" t="b">
        <f t="shared" si="18"/>
        <v>1</v>
      </c>
      <c r="N44" s="330" t="b">
        <f t="shared" si="18"/>
        <v>1</v>
      </c>
      <c r="O44" s="330" t="b">
        <f t="shared" si="18"/>
        <v>1</v>
      </c>
      <c r="P44" s="28"/>
      <c r="Q44" s="28"/>
      <c r="R44" s="2"/>
      <c r="S44" s="2"/>
      <c r="T44" s="2"/>
      <c r="U44" s="2"/>
    </row>
    <row r="45" spans="1:21">
      <c r="A45" s="28"/>
      <c r="B45" s="330" t="b">
        <f>B18=B19+B20+B21</f>
        <v>1</v>
      </c>
      <c r="C45" s="330" t="b">
        <f t="shared" ref="C45:O45" si="19">C18=C19+C20+C21</f>
        <v>1</v>
      </c>
      <c r="D45" s="330" t="b">
        <f t="shared" si="19"/>
        <v>1</v>
      </c>
      <c r="E45" s="330" t="b">
        <f t="shared" si="19"/>
        <v>1</v>
      </c>
      <c r="F45" s="330" t="b">
        <f t="shared" si="19"/>
        <v>1</v>
      </c>
      <c r="G45" s="330" t="b">
        <f t="shared" si="19"/>
        <v>1</v>
      </c>
      <c r="H45" s="330" t="b">
        <f t="shared" si="19"/>
        <v>1</v>
      </c>
      <c r="I45" s="330" t="b">
        <f t="shared" si="19"/>
        <v>1</v>
      </c>
      <c r="J45" s="330" t="b">
        <f t="shared" si="19"/>
        <v>1</v>
      </c>
      <c r="K45" s="330" t="b">
        <f t="shared" si="19"/>
        <v>1</v>
      </c>
      <c r="L45" s="330" t="b">
        <f t="shared" si="19"/>
        <v>1</v>
      </c>
      <c r="M45" s="330" t="b">
        <f t="shared" si="19"/>
        <v>1</v>
      </c>
      <c r="N45" s="330" t="b">
        <f t="shared" si="19"/>
        <v>1</v>
      </c>
      <c r="O45" s="330" t="b">
        <f t="shared" si="19"/>
        <v>1</v>
      </c>
      <c r="P45" s="28"/>
      <c r="Q45" s="28"/>
      <c r="R45" s="2"/>
      <c r="S45" s="2"/>
      <c r="T45" s="2"/>
      <c r="U45" s="2"/>
    </row>
    <row r="46" spans="1:21">
      <c r="B46" s="1" t="b">
        <f>B22=B23+B24+B25</f>
        <v>1</v>
      </c>
      <c r="C46" s="1" t="b">
        <f t="shared" ref="C46:O46" si="20">C22=C23+C24+C25</f>
        <v>1</v>
      </c>
      <c r="D46" s="1" t="b">
        <f t="shared" si="20"/>
        <v>1</v>
      </c>
      <c r="E46" s="1" t="b">
        <f t="shared" si="20"/>
        <v>1</v>
      </c>
      <c r="F46" s="1" t="b">
        <f t="shared" si="20"/>
        <v>1</v>
      </c>
      <c r="G46" s="1" t="b">
        <f t="shared" si="20"/>
        <v>1</v>
      </c>
      <c r="H46" s="1" t="b">
        <f t="shared" si="20"/>
        <v>1</v>
      </c>
      <c r="I46" s="1" t="b">
        <f t="shared" si="20"/>
        <v>1</v>
      </c>
      <c r="J46" s="1" t="b">
        <f t="shared" si="20"/>
        <v>1</v>
      </c>
      <c r="K46" s="1" t="b">
        <f t="shared" si="20"/>
        <v>1</v>
      </c>
      <c r="L46" s="1" t="b">
        <f t="shared" si="20"/>
        <v>1</v>
      </c>
      <c r="M46" s="1" t="b">
        <f t="shared" si="20"/>
        <v>1</v>
      </c>
      <c r="N46" s="1" t="b">
        <f t="shared" si="20"/>
        <v>1</v>
      </c>
      <c r="O46" s="1" t="b">
        <f t="shared" si="20"/>
        <v>1</v>
      </c>
    </row>
    <row r="47" spans="1:21">
      <c r="B47" s="1" t="b">
        <f>B26=B27+B28</f>
        <v>1</v>
      </c>
      <c r="C47" s="1" t="b">
        <f t="shared" ref="C47:O47" si="21">C26=C27+C28</f>
        <v>1</v>
      </c>
      <c r="D47" s="1" t="b">
        <f t="shared" si="21"/>
        <v>1</v>
      </c>
      <c r="E47" s="1" t="b">
        <f t="shared" si="21"/>
        <v>1</v>
      </c>
      <c r="F47" s="1" t="b">
        <f t="shared" si="21"/>
        <v>1</v>
      </c>
      <c r="G47" s="1" t="b">
        <f t="shared" si="21"/>
        <v>1</v>
      </c>
      <c r="H47" s="1" t="b">
        <f t="shared" si="21"/>
        <v>1</v>
      </c>
      <c r="I47" s="1" t="b">
        <f t="shared" si="21"/>
        <v>1</v>
      </c>
      <c r="J47" s="1" t="b">
        <f t="shared" si="21"/>
        <v>1</v>
      </c>
      <c r="K47" s="1" t="b">
        <f t="shared" si="21"/>
        <v>1</v>
      </c>
      <c r="L47" s="1" t="b">
        <f t="shared" si="21"/>
        <v>1</v>
      </c>
      <c r="M47" s="1" t="b">
        <f t="shared" si="21"/>
        <v>1</v>
      </c>
      <c r="N47" s="1" t="b">
        <f t="shared" si="21"/>
        <v>1</v>
      </c>
      <c r="O47" s="1" t="b">
        <f t="shared" si="21"/>
        <v>1</v>
      </c>
    </row>
    <row r="48" spans="1:21">
      <c r="B48" s="1" t="b">
        <f>B29=B30+B31</f>
        <v>1</v>
      </c>
      <c r="C48" s="1" t="b">
        <f t="shared" ref="C48:O48" si="22">C29=C30+C31</f>
        <v>1</v>
      </c>
      <c r="D48" s="1" t="b">
        <f t="shared" si="22"/>
        <v>1</v>
      </c>
      <c r="E48" s="1" t="b">
        <f t="shared" si="22"/>
        <v>1</v>
      </c>
      <c r="F48" s="1" t="b">
        <f t="shared" si="22"/>
        <v>1</v>
      </c>
      <c r="G48" s="1" t="b">
        <f t="shared" si="22"/>
        <v>1</v>
      </c>
      <c r="H48" s="1" t="b">
        <f t="shared" si="22"/>
        <v>1</v>
      </c>
      <c r="I48" s="1" t="b">
        <f t="shared" si="22"/>
        <v>1</v>
      </c>
      <c r="J48" s="1" t="b">
        <f t="shared" si="22"/>
        <v>1</v>
      </c>
      <c r="K48" s="1" t="b">
        <f t="shared" si="22"/>
        <v>1</v>
      </c>
      <c r="L48" s="1" t="b">
        <f t="shared" si="22"/>
        <v>1</v>
      </c>
      <c r="M48" s="1" t="b">
        <f t="shared" si="22"/>
        <v>1</v>
      </c>
      <c r="N48" s="1" t="b">
        <f t="shared" si="22"/>
        <v>1</v>
      </c>
      <c r="O48" s="1" t="b">
        <f t="shared" si="22"/>
        <v>1</v>
      </c>
    </row>
    <row r="49" spans="2:15">
      <c r="B49" s="1" t="b">
        <f>B32=+B33+B34</f>
        <v>1</v>
      </c>
      <c r="C49" s="1" t="b">
        <f t="shared" ref="C49:O49" si="23">C32=+C33+C34</f>
        <v>1</v>
      </c>
      <c r="D49" s="1" t="b">
        <f t="shared" si="23"/>
        <v>1</v>
      </c>
      <c r="E49" s="1" t="b">
        <f t="shared" si="23"/>
        <v>1</v>
      </c>
      <c r="F49" s="1" t="b">
        <f t="shared" si="23"/>
        <v>1</v>
      </c>
      <c r="G49" s="1" t="b">
        <f t="shared" si="23"/>
        <v>1</v>
      </c>
      <c r="H49" s="1" t="b">
        <f t="shared" si="23"/>
        <v>1</v>
      </c>
      <c r="I49" s="1" t="b">
        <f t="shared" si="23"/>
        <v>1</v>
      </c>
      <c r="J49" s="1" t="b">
        <f t="shared" si="23"/>
        <v>1</v>
      </c>
      <c r="K49" s="1" t="b">
        <f t="shared" si="23"/>
        <v>1</v>
      </c>
      <c r="L49" s="1" t="b">
        <f t="shared" si="23"/>
        <v>1</v>
      </c>
      <c r="M49" s="1" t="b">
        <f t="shared" si="23"/>
        <v>1</v>
      </c>
      <c r="N49" s="1" t="b">
        <f t="shared" si="23"/>
        <v>1</v>
      </c>
      <c r="O49" s="1" t="b">
        <f t="shared" si="23"/>
        <v>1</v>
      </c>
    </row>
  </sheetData>
  <mergeCells count="8">
    <mergeCell ref="F2:N6"/>
    <mergeCell ref="F7:N7"/>
    <mergeCell ref="A12:A13"/>
    <mergeCell ref="B12:B13"/>
    <mergeCell ref="C12:C13"/>
    <mergeCell ref="D12:D13"/>
    <mergeCell ref="E12:E13"/>
    <mergeCell ref="F12:O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61"/>
  <sheetViews>
    <sheetView showGridLines="0" zoomScaleSheetLayoutView="100" workbookViewId="0">
      <pane ySplit="2" topLeftCell="A10" activePane="bottomLeft" state="frozen"/>
      <selection pane="bottomLeft" activeCell="M17" sqref="M17"/>
    </sheetView>
  </sheetViews>
  <sheetFormatPr defaultColWidth="9.140625" defaultRowHeight="15"/>
  <cols>
    <col min="1" max="1" width="5" style="143" customWidth="1"/>
    <col min="2" max="2" width="12" style="148" customWidth="1"/>
    <col min="3" max="3" width="12.42578125" style="143" customWidth="1"/>
    <col min="4" max="4" width="24.7109375" style="31" customWidth="1"/>
    <col min="5" max="5" width="10.7109375" style="397" customWidth="1"/>
    <col min="6" max="6" width="38.7109375" style="390" customWidth="1"/>
    <col min="7" max="7" width="8.7109375" style="143" customWidth="1"/>
    <col min="8" max="8" width="15.85546875" style="143" customWidth="1"/>
    <col min="9" max="9" width="15.85546875" style="396" customWidth="1"/>
    <col min="10" max="10" width="17" style="130" customWidth="1"/>
    <col min="11" max="11" width="18.28515625" style="145" customWidth="1"/>
    <col min="12" max="12" width="16.42578125" style="145" customWidth="1"/>
    <col min="13" max="13" width="12.28515625" style="398" customWidth="1"/>
    <col min="14" max="14" width="11.5703125" style="390" customWidth="1"/>
    <col min="15" max="15" width="12.28515625" style="390" bestFit="1" customWidth="1"/>
    <col min="16" max="16" width="18.85546875" style="390" bestFit="1" customWidth="1"/>
    <col min="17" max="17" width="17.42578125" style="390" customWidth="1"/>
    <col min="18" max="18" width="15.28515625" style="390" customWidth="1"/>
    <col min="19" max="19" width="14.140625" style="390" customWidth="1"/>
    <col min="20" max="21" width="9.85546875" style="390" customWidth="1"/>
    <col min="22" max="22" width="10.7109375" style="390" customWidth="1"/>
    <col min="23" max="23" width="14.140625" style="390" customWidth="1"/>
    <col min="24" max="24" width="15.7109375" style="397" customWidth="1"/>
    <col min="25" max="26" width="15.7109375" style="143" customWidth="1"/>
    <col min="27" max="27" width="15.7109375" style="397" customWidth="1"/>
    <col min="28" max="28" width="9.140625" style="390"/>
    <col min="29" max="29" width="14.42578125" style="390" customWidth="1"/>
    <col min="30" max="30" width="11.28515625" style="390" customWidth="1"/>
    <col min="31" max="31" width="13.7109375" style="390" customWidth="1"/>
    <col min="32" max="32" width="13.85546875" style="390" customWidth="1"/>
    <col min="33" max="16384" width="9.140625" style="390"/>
  </cols>
  <sheetData>
    <row r="1" spans="1:34" s="382" customFormat="1" ht="20.100000000000001" customHeight="1">
      <c r="A1" s="578" t="s">
        <v>4</v>
      </c>
      <c r="B1" s="578" t="s">
        <v>5</v>
      </c>
      <c r="C1" s="587" t="s">
        <v>41</v>
      </c>
      <c r="D1" s="585" t="s">
        <v>6</v>
      </c>
      <c r="E1" s="585" t="s">
        <v>30</v>
      </c>
      <c r="F1" s="585" t="s">
        <v>7</v>
      </c>
      <c r="G1" s="578" t="s">
        <v>24</v>
      </c>
      <c r="H1" s="578" t="s">
        <v>8</v>
      </c>
      <c r="I1" s="578" t="s">
        <v>21</v>
      </c>
      <c r="J1" s="578" t="s">
        <v>9</v>
      </c>
      <c r="K1" s="578" t="s">
        <v>16</v>
      </c>
      <c r="L1" s="585" t="s">
        <v>13</v>
      </c>
      <c r="M1" s="578" t="s">
        <v>11</v>
      </c>
      <c r="N1" s="578" t="s">
        <v>12</v>
      </c>
      <c r="O1" s="578"/>
      <c r="P1" s="578"/>
      <c r="Q1" s="578"/>
      <c r="R1" s="578"/>
      <c r="S1" s="578"/>
      <c r="T1" s="578"/>
      <c r="U1" s="578"/>
      <c r="V1" s="578"/>
      <c r="W1" s="578"/>
      <c r="X1" s="212"/>
      <c r="Y1" s="212"/>
      <c r="Z1" s="212"/>
      <c r="AA1" s="213"/>
      <c r="AB1" s="509"/>
      <c r="AC1" s="509"/>
      <c r="AD1" s="509"/>
      <c r="AE1" s="509"/>
    </row>
    <row r="2" spans="1:34" s="382" customFormat="1" ht="32.65" customHeight="1" thickBot="1">
      <c r="A2" s="578"/>
      <c r="B2" s="578"/>
      <c r="C2" s="588"/>
      <c r="D2" s="586"/>
      <c r="E2" s="586"/>
      <c r="F2" s="586"/>
      <c r="G2" s="578"/>
      <c r="H2" s="578"/>
      <c r="I2" s="578"/>
      <c r="J2" s="578"/>
      <c r="K2" s="578"/>
      <c r="L2" s="586"/>
      <c r="M2" s="578"/>
      <c r="N2" s="541">
        <v>2019</v>
      </c>
      <c r="O2" s="541">
        <v>2020</v>
      </c>
      <c r="P2" s="541">
        <v>2021</v>
      </c>
      <c r="Q2" s="541">
        <v>2022</v>
      </c>
      <c r="R2" s="541">
        <v>2023</v>
      </c>
      <c r="S2" s="308">
        <v>2024</v>
      </c>
      <c r="T2" s="541">
        <v>2025</v>
      </c>
      <c r="U2" s="541">
        <v>2026</v>
      </c>
      <c r="V2" s="541">
        <v>2027</v>
      </c>
      <c r="W2" s="542">
        <v>2028</v>
      </c>
      <c r="X2" s="212" t="s">
        <v>26</v>
      </c>
      <c r="Y2" s="212" t="s">
        <v>27</v>
      </c>
      <c r="Z2" s="212" t="s">
        <v>28</v>
      </c>
      <c r="AA2" s="214" t="s">
        <v>29</v>
      </c>
      <c r="AB2" s="509"/>
      <c r="AC2" s="509"/>
      <c r="AD2" s="509"/>
      <c r="AE2" s="509"/>
    </row>
    <row r="3" spans="1:34" s="385" customFormat="1" ht="57.75" thickTop="1" thickBot="1">
      <c r="A3" s="215">
        <v>1</v>
      </c>
      <c r="B3" s="383" t="s">
        <v>378</v>
      </c>
      <c r="C3" s="215" t="s">
        <v>100</v>
      </c>
      <c r="D3" s="216" t="s">
        <v>75</v>
      </c>
      <c r="E3" s="384">
        <v>2403</v>
      </c>
      <c r="F3" s="217" t="s">
        <v>106</v>
      </c>
      <c r="G3" s="218" t="s">
        <v>121</v>
      </c>
      <c r="H3" s="219">
        <v>1.1779999999999999</v>
      </c>
      <c r="I3" s="218" t="s">
        <v>122</v>
      </c>
      <c r="J3" s="220">
        <v>8834716.5399999991</v>
      </c>
      <c r="K3" s="220">
        <f>O3+N3</f>
        <v>6184301</v>
      </c>
      <c r="L3" s="220">
        <v>2650415.5399999991</v>
      </c>
      <c r="M3" s="349">
        <v>0.7</v>
      </c>
      <c r="N3" s="221">
        <v>32501.699999999997</v>
      </c>
      <c r="O3" s="221">
        <v>6151799.2999999998</v>
      </c>
      <c r="P3" s="221"/>
      <c r="Q3" s="220"/>
      <c r="R3" s="222"/>
      <c r="S3" s="223"/>
      <c r="T3" s="220"/>
      <c r="U3" s="220"/>
      <c r="V3" s="466"/>
      <c r="W3" s="232"/>
      <c r="X3" s="224" t="b">
        <f t="shared" ref="X3:X17" si="0">K3=SUM(N3:W3)</f>
        <v>1</v>
      </c>
      <c r="Y3" s="225">
        <f t="shared" ref="Y3:Y17" si="1">ROUND(K3/J3,4)</f>
        <v>0.7</v>
      </c>
      <c r="Z3" s="226" t="b">
        <f t="shared" ref="Z3:Z17" si="2">Y3=M3</f>
        <v>1</v>
      </c>
      <c r="AA3" s="226" t="b">
        <f t="shared" ref="AA3:AA18" si="3">J3=K3+L3</f>
        <v>1</v>
      </c>
      <c r="AB3" s="510"/>
      <c r="AC3" s="511"/>
      <c r="AD3" s="512"/>
      <c r="AE3" s="511"/>
      <c r="AF3" s="538"/>
      <c r="AG3" s="538"/>
      <c r="AH3" s="538"/>
    </row>
    <row r="4" spans="1:34" s="386" customFormat="1" ht="46.5" thickTop="1" thickBot="1">
      <c r="A4" s="227">
        <v>2</v>
      </c>
      <c r="B4" s="240" t="s">
        <v>379</v>
      </c>
      <c r="C4" s="227" t="s">
        <v>100</v>
      </c>
      <c r="D4" s="228" t="s">
        <v>101</v>
      </c>
      <c r="E4" s="291">
        <v>2404</v>
      </c>
      <c r="F4" s="229" t="s">
        <v>107</v>
      </c>
      <c r="G4" s="230" t="s">
        <v>123</v>
      </c>
      <c r="H4" s="231">
        <v>15.569000000000001</v>
      </c>
      <c r="I4" s="230" t="s">
        <v>124</v>
      </c>
      <c r="J4" s="350">
        <v>29242719.93</v>
      </c>
      <c r="K4" s="232">
        <v>16083495.960000001</v>
      </c>
      <c r="L4" s="232">
        <v>13159223.970000001</v>
      </c>
      <c r="M4" s="270">
        <f>K4/J4</f>
        <v>0.54999999994870519</v>
      </c>
      <c r="N4" s="233">
        <v>1226775</v>
      </c>
      <c r="O4" s="233">
        <v>4629929</v>
      </c>
      <c r="P4" s="233">
        <v>5112572.5</v>
      </c>
      <c r="Q4" s="232">
        <v>5114219.46</v>
      </c>
      <c r="R4" s="234"/>
      <c r="S4" s="232"/>
      <c r="T4" s="232"/>
      <c r="U4" s="232"/>
      <c r="V4" s="467"/>
      <c r="W4" s="232"/>
      <c r="X4" s="224" t="b">
        <f t="shared" si="0"/>
        <v>1</v>
      </c>
      <c r="Y4" s="225">
        <f t="shared" si="1"/>
        <v>0.55000000000000004</v>
      </c>
      <c r="Z4" s="226" t="b">
        <f t="shared" si="2"/>
        <v>0</v>
      </c>
      <c r="AA4" s="226" t="b">
        <f t="shared" si="3"/>
        <v>1</v>
      </c>
      <c r="AB4" s="510"/>
      <c r="AC4" s="511"/>
      <c r="AD4" s="512"/>
      <c r="AE4" s="511"/>
      <c r="AF4" s="538"/>
      <c r="AG4" s="538"/>
      <c r="AH4" s="538"/>
    </row>
    <row r="5" spans="1:34" s="386" customFormat="1" ht="80.25" thickTop="1" thickBot="1">
      <c r="A5" s="227">
        <v>3</v>
      </c>
      <c r="B5" s="240" t="s">
        <v>380</v>
      </c>
      <c r="C5" s="227" t="s">
        <v>100</v>
      </c>
      <c r="D5" s="228" t="s">
        <v>102</v>
      </c>
      <c r="E5" s="235">
        <v>2478011</v>
      </c>
      <c r="F5" s="229" t="s">
        <v>108</v>
      </c>
      <c r="G5" s="230" t="s">
        <v>125</v>
      </c>
      <c r="H5" s="231">
        <v>1.234</v>
      </c>
      <c r="I5" s="230" t="s">
        <v>126</v>
      </c>
      <c r="J5" s="350">
        <v>16309819</v>
      </c>
      <c r="K5" s="232">
        <v>8154909</v>
      </c>
      <c r="L5" s="232">
        <v>8154910</v>
      </c>
      <c r="M5" s="270">
        <v>0.5</v>
      </c>
      <c r="N5" s="233">
        <v>4958308</v>
      </c>
      <c r="O5" s="233">
        <v>3196601</v>
      </c>
      <c r="P5" s="233"/>
      <c r="Q5" s="233"/>
      <c r="R5" s="232"/>
      <c r="S5" s="233"/>
      <c r="T5" s="233"/>
      <c r="U5" s="233"/>
      <c r="V5" s="233"/>
      <c r="W5" s="232"/>
      <c r="X5" s="224" t="b">
        <f t="shared" si="0"/>
        <v>1</v>
      </c>
      <c r="Y5" s="225">
        <f t="shared" si="1"/>
        <v>0.5</v>
      </c>
      <c r="Z5" s="226" t="b">
        <f t="shared" si="2"/>
        <v>1</v>
      </c>
      <c r="AA5" s="226" t="b">
        <f t="shared" si="3"/>
        <v>1</v>
      </c>
      <c r="AB5" s="510"/>
      <c r="AC5" s="511"/>
      <c r="AD5" s="512"/>
      <c r="AE5" s="511"/>
      <c r="AF5" s="538"/>
      <c r="AG5" s="538"/>
      <c r="AH5" s="538"/>
    </row>
    <row r="6" spans="1:34" s="386" customFormat="1" ht="24" thickTop="1" thickBot="1">
      <c r="A6" s="227">
        <v>4</v>
      </c>
      <c r="B6" s="240" t="s">
        <v>381</v>
      </c>
      <c r="C6" s="227" t="s">
        <v>100</v>
      </c>
      <c r="D6" s="228" t="s">
        <v>80</v>
      </c>
      <c r="E6" s="235">
        <v>2470011</v>
      </c>
      <c r="F6" s="229" t="s">
        <v>109</v>
      </c>
      <c r="G6" s="230" t="s">
        <v>123</v>
      </c>
      <c r="H6" s="231">
        <v>3.5</v>
      </c>
      <c r="I6" s="230" t="s">
        <v>127</v>
      </c>
      <c r="J6" s="350">
        <v>16509041.73</v>
      </c>
      <c r="K6" s="232">
        <v>7616157.5999999996</v>
      </c>
      <c r="L6" s="232">
        <v>8892884.1300000008</v>
      </c>
      <c r="M6" s="270">
        <v>0.46</v>
      </c>
      <c r="N6" s="233">
        <v>228484.8</v>
      </c>
      <c r="O6" s="233">
        <v>3579594.4</v>
      </c>
      <c r="P6" s="233">
        <v>3808078.4</v>
      </c>
      <c r="Q6" s="232"/>
      <c r="R6" s="232"/>
      <c r="S6" s="232"/>
      <c r="T6" s="232"/>
      <c r="U6" s="232"/>
      <c r="V6" s="467"/>
      <c r="W6" s="232"/>
      <c r="X6" s="224" t="b">
        <f t="shared" si="0"/>
        <v>1</v>
      </c>
      <c r="Y6" s="225">
        <f t="shared" si="1"/>
        <v>0.46129999999999999</v>
      </c>
      <c r="Z6" s="226" t="b">
        <f t="shared" si="2"/>
        <v>0</v>
      </c>
      <c r="AA6" s="226" t="b">
        <f t="shared" si="3"/>
        <v>1</v>
      </c>
      <c r="AB6" s="510"/>
      <c r="AC6" s="511"/>
      <c r="AD6" s="512"/>
      <c r="AE6" s="511"/>
      <c r="AF6" s="538"/>
      <c r="AG6" s="538"/>
      <c r="AH6" s="538"/>
    </row>
    <row r="7" spans="1:34" s="386" customFormat="1" ht="46.5" thickTop="1" thickBot="1">
      <c r="A7" s="227">
        <v>5</v>
      </c>
      <c r="B7" s="240" t="s">
        <v>382</v>
      </c>
      <c r="C7" s="227" t="s">
        <v>100</v>
      </c>
      <c r="D7" s="228" t="s">
        <v>78</v>
      </c>
      <c r="E7" s="291">
        <v>2417</v>
      </c>
      <c r="F7" s="229" t="s">
        <v>110</v>
      </c>
      <c r="G7" s="230" t="s">
        <v>123</v>
      </c>
      <c r="H7" s="231">
        <v>1.1950000000000001</v>
      </c>
      <c r="I7" s="230" t="s">
        <v>128</v>
      </c>
      <c r="J7" s="350">
        <v>966392.75</v>
      </c>
      <c r="K7" s="232">
        <v>724794.56</v>
      </c>
      <c r="L7" s="232">
        <v>241598.19</v>
      </c>
      <c r="M7" s="270">
        <v>0.75</v>
      </c>
      <c r="N7" s="233">
        <v>65967.75</v>
      </c>
      <c r="O7" s="233">
        <v>658826.81000000006</v>
      </c>
      <c r="P7" s="233"/>
      <c r="Q7" s="232"/>
      <c r="R7" s="223"/>
      <c r="S7" s="223"/>
      <c r="T7" s="223"/>
      <c r="U7" s="223"/>
      <c r="V7" s="468"/>
      <c r="W7" s="232"/>
      <c r="X7" s="224" t="b">
        <f t="shared" si="0"/>
        <v>1</v>
      </c>
      <c r="Y7" s="225">
        <f t="shared" si="1"/>
        <v>0.75</v>
      </c>
      <c r="Z7" s="226" t="b">
        <f t="shared" si="2"/>
        <v>1</v>
      </c>
      <c r="AA7" s="226" t="b">
        <f t="shared" si="3"/>
        <v>1</v>
      </c>
      <c r="AB7" s="510"/>
      <c r="AC7" s="511"/>
      <c r="AD7" s="512"/>
      <c r="AE7" s="511"/>
      <c r="AF7" s="538"/>
      <c r="AG7" s="538"/>
      <c r="AH7" s="538"/>
    </row>
    <row r="8" spans="1:34" s="386" customFormat="1" ht="35.25" thickTop="1" thickBot="1">
      <c r="A8" s="227">
        <v>6</v>
      </c>
      <c r="B8" s="240" t="s">
        <v>383</v>
      </c>
      <c r="C8" s="227" t="s">
        <v>100</v>
      </c>
      <c r="D8" s="228" t="s">
        <v>101</v>
      </c>
      <c r="E8" s="291">
        <v>2404</v>
      </c>
      <c r="F8" s="229" t="s">
        <v>111</v>
      </c>
      <c r="G8" s="230" t="s">
        <v>123</v>
      </c>
      <c r="H8" s="231">
        <v>3.35</v>
      </c>
      <c r="I8" s="230" t="s">
        <v>129</v>
      </c>
      <c r="J8" s="232">
        <v>7600000</v>
      </c>
      <c r="K8" s="232">
        <v>4180000.0000000005</v>
      </c>
      <c r="L8" s="232">
        <v>3420000</v>
      </c>
      <c r="M8" s="270">
        <f>K8/J8</f>
        <v>0.55000000000000004</v>
      </c>
      <c r="N8" s="233">
        <v>606100</v>
      </c>
      <c r="O8" s="233">
        <v>1324400</v>
      </c>
      <c r="P8" s="233">
        <v>1324400</v>
      </c>
      <c r="Q8" s="232">
        <v>925100.00000000012</v>
      </c>
      <c r="R8" s="223"/>
      <c r="S8" s="237"/>
      <c r="T8" s="237"/>
      <c r="U8" s="237"/>
      <c r="V8" s="469"/>
      <c r="W8" s="232"/>
      <c r="X8" s="224" t="b">
        <f t="shared" si="0"/>
        <v>1</v>
      </c>
      <c r="Y8" s="225">
        <f t="shared" si="1"/>
        <v>0.55000000000000004</v>
      </c>
      <c r="Z8" s="226" t="b">
        <f t="shared" si="2"/>
        <v>1</v>
      </c>
      <c r="AA8" s="226" t="b">
        <f t="shared" si="3"/>
        <v>1</v>
      </c>
      <c r="AB8" s="510"/>
      <c r="AC8" s="511"/>
      <c r="AD8" s="512"/>
      <c r="AE8" s="511"/>
      <c r="AF8" s="538"/>
      <c r="AG8" s="538"/>
      <c r="AH8" s="538"/>
    </row>
    <row r="9" spans="1:34" s="386" customFormat="1" ht="24" thickTop="1" thickBot="1">
      <c r="A9" s="227">
        <v>7</v>
      </c>
      <c r="B9" s="240" t="s">
        <v>384</v>
      </c>
      <c r="C9" s="227" t="s">
        <v>100</v>
      </c>
      <c r="D9" s="228" t="s">
        <v>103</v>
      </c>
      <c r="E9" s="235">
        <v>2464011</v>
      </c>
      <c r="F9" s="229" t="s">
        <v>112</v>
      </c>
      <c r="G9" s="230" t="s">
        <v>123</v>
      </c>
      <c r="H9" s="231">
        <v>0.90600000000000003</v>
      </c>
      <c r="I9" s="230" t="s">
        <v>130</v>
      </c>
      <c r="J9" s="350">
        <v>3058768</v>
      </c>
      <c r="K9" s="232">
        <v>1529384</v>
      </c>
      <c r="L9" s="232">
        <v>1529384</v>
      </c>
      <c r="M9" s="270">
        <f>K9/J9</f>
        <v>0.5</v>
      </c>
      <c r="N9" s="233">
        <v>1161282.5</v>
      </c>
      <c r="O9" s="233">
        <v>368101.5</v>
      </c>
      <c r="P9" s="233"/>
      <c r="Q9" s="232"/>
      <c r="R9" s="223"/>
      <c r="S9" s="232"/>
      <c r="T9" s="232"/>
      <c r="U9" s="232"/>
      <c r="V9" s="467"/>
      <c r="W9" s="232"/>
      <c r="X9" s="224" t="b">
        <f t="shared" si="0"/>
        <v>1</v>
      </c>
      <c r="Y9" s="225">
        <f t="shared" si="1"/>
        <v>0.5</v>
      </c>
      <c r="Z9" s="226" t="b">
        <f t="shared" si="2"/>
        <v>1</v>
      </c>
      <c r="AA9" s="226" t="b">
        <f t="shared" si="3"/>
        <v>1</v>
      </c>
      <c r="AB9" s="510"/>
      <c r="AC9" s="511"/>
      <c r="AD9" s="512"/>
      <c r="AE9" s="511"/>
      <c r="AF9" s="538"/>
      <c r="AG9" s="538"/>
      <c r="AH9" s="538"/>
    </row>
    <row r="10" spans="1:34" s="386" customFormat="1" ht="57.75" thickTop="1" thickBot="1">
      <c r="A10" s="227">
        <v>8</v>
      </c>
      <c r="B10" s="240" t="s">
        <v>385</v>
      </c>
      <c r="C10" s="227" t="s">
        <v>100</v>
      </c>
      <c r="D10" s="228" t="s">
        <v>77</v>
      </c>
      <c r="E10" s="291">
        <v>2409</v>
      </c>
      <c r="F10" s="229" t="s">
        <v>113</v>
      </c>
      <c r="G10" s="230" t="s">
        <v>123</v>
      </c>
      <c r="H10" s="231">
        <v>1.9810000000000001</v>
      </c>
      <c r="I10" s="230" t="s">
        <v>131</v>
      </c>
      <c r="J10" s="350">
        <v>3176142</v>
      </c>
      <c r="K10" s="232">
        <v>1905684.8</v>
      </c>
      <c r="L10" s="232">
        <v>1270457.2</v>
      </c>
      <c r="M10" s="270">
        <v>0.6</v>
      </c>
      <c r="N10" s="233">
        <v>517786.8</v>
      </c>
      <c r="O10" s="233">
        <v>1387898</v>
      </c>
      <c r="P10" s="233"/>
      <c r="Q10" s="233"/>
      <c r="R10" s="233"/>
      <c r="S10" s="233"/>
      <c r="T10" s="233"/>
      <c r="U10" s="233"/>
      <c r="V10" s="233"/>
      <c r="W10" s="232"/>
      <c r="X10" s="224" t="b">
        <f t="shared" si="0"/>
        <v>1</v>
      </c>
      <c r="Y10" s="225">
        <f t="shared" si="1"/>
        <v>0.6</v>
      </c>
      <c r="Z10" s="226" t="b">
        <f t="shared" si="2"/>
        <v>1</v>
      </c>
      <c r="AA10" s="226" t="b">
        <f t="shared" si="3"/>
        <v>1</v>
      </c>
      <c r="AB10" s="510"/>
      <c r="AC10" s="511"/>
      <c r="AD10" s="512"/>
      <c r="AE10" s="511"/>
      <c r="AF10" s="538"/>
      <c r="AG10" s="538"/>
      <c r="AH10" s="538"/>
    </row>
    <row r="11" spans="1:34" s="386" customFormat="1" ht="35.25" thickTop="1" thickBot="1">
      <c r="A11" s="227">
        <v>9</v>
      </c>
      <c r="B11" s="240" t="s">
        <v>386</v>
      </c>
      <c r="C11" s="227" t="s">
        <v>100</v>
      </c>
      <c r="D11" s="228" t="s">
        <v>45</v>
      </c>
      <c r="E11" s="235">
        <v>2468011</v>
      </c>
      <c r="F11" s="229" t="s">
        <v>114</v>
      </c>
      <c r="G11" s="230" t="s">
        <v>125</v>
      </c>
      <c r="H11" s="231">
        <v>0.80200000000000005</v>
      </c>
      <c r="I11" s="230" t="s">
        <v>132</v>
      </c>
      <c r="J11" s="350">
        <v>5134155.5</v>
      </c>
      <c r="K11" s="232">
        <v>2567077.75</v>
      </c>
      <c r="L11" s="232">
        <v>2567077.75</v>
      </c>
      <c r="M11" s="270">
        <v>0.5</v>
      </c>
      <c r="N11" s="233">
        <v>2567077.75</v>
      </c>
      <c r="O11" s="233">
        <v>0</v>
      </c>
      <c r="P11" s="233"/>
      <c r="Q11" s="233"/>
      <c r="R11" s="233"/>
      <c r="S11" s="233"/>
      <c r="T11" s="233"/>
      <c r="U11" s="233"/>
      <c r="V11" s="233"/>
      <c r="W11" s="232"/>
      <c r="X11" s="224" t="b">
        <f t="shared" si="0"/>
        <v>1</v>
      </c>
      <c r="Y11" s="225">
        <f t="shared" si="1"/>
        <v>0.5</v>
      </c>
      <c r="Z11" s="226" t="b">
        <f t="shared" si="2"/>
        <v>1</v>
      </c>
      <c r="AA11" s="226" t="b">
        <f t="shared" si="3"/>
        <v>1</v>
      </c>
      <c r="AB11" s="510"/>
      <c r="AC11" s="511"/>
      <c r="AD11" s="512"/>
      <c r="AE11" s="511"/>
      <c r="AF11" s="538"/>
      <c r="AG11" s="538"/>
      <c r="AH11" s="538"/>
    </row>
    <row r="12" spans="1:34" s="386" customFormat="1" ht="24" thickTop="1" thickBot="1">
      <c r="A12" s="227">
        <v>10</v>
      </c>
      <c r="B12" s="240" t="s">
        <v>387</v>
      </c>
      <c r="C12" s="227" t="s">
        <v>100</v>
      </c>
      <c r="D12" s="228" t="s">
        <v>76</v>
      </c>
      <c r="E12" s="291">
        <v>2413</v>
      </c>
      <c r="F12" s="229" t="s">
        <v>115</v>
      </c>
      <c r="G12" s="230" t="s">
        <v>123</v>
      </c>
      <c r="H12" s="231">
        <v>1.512</v>
      </c>
      <c r="I12" s="230" t="s">
        <v>133</v>
      </c>
      <c r="J12" s="350">
        <v>1475637.46</v>
      </c>
      <c r="K12" s="232">
        <v>737818.73</v>
      </c>
      <c r="L12" s="232">
        <v>737818.73</v>
      </c>
      <c r="M12" s="270">
        <v>0.5</v>
      </c>
      <c r="N12" s="233">
        <v>340000</v>
      </c>
      <c r="O12" s="233">
        <v>397818.73</v>
      </c>
      <c r="P12" s="233">
        <v>0</v>
      </c>
      <c r="Q12" s="233"/>
      <c r="R12" s="233"/>
      <c r="S12" s="233"/>
      <c r="T12" s="233"/>
      <c r="U12" s="233"/>
      <c r="V12" s="233"/>
      <c r="W12" s="232"/>
      <c r="X12" s="224" t="b">
        <f t="shared" si="0"/>
        <v>1</v>
      </c>
      <c r="Y12" s="225">
        <f t="shared" si="1"/>
        <v>0.5</v>
      </c>
      <c r="Z12" s="226" t="b">
        <f t="shared" si="2"/>
        <v>1</v>
      </c>
      <c r="AA12" s="226" t="b">
        <f t="shared" si="3"/>
        <v>1</v>
      </c>
      <c r="AB12" s="510"/>
      <c r="AC12" s="511"/>
      <c r="AD12" s="512"/>
      <c r="AE12" s="511"/>
      <c r="AF12" s="538"/>
      <c r="AG12" s="538"/>
      <c r="AH12" s="538"/>
    </row>
    <row r="13" spans="1:34" s="386" customFormat="1" ht="24" thickTop="1" thickBot="1">
      <c r="A13" s="227">
        <v>11</v>
      </c>
      <c r="B13" s="240" t="s">
        <v>388</v>
      </c>
      <c r="C13" s="227" t="s">
        <v>100</v>
      </c>
      <c r="D13" s="228" t="s">
        <v>104</v>
      </c>
      <c r="E13" s="291">
        <v>2408</v>
      </c>
      <c r="F13" s="229" t="s">
        <v>116</v>
      </c>
      <c r="G13" s="230" t="s">
        <v>123</v>
      </c>
      <c r="H13" s="231">
        <v>2.77</v>
      </c>
      <c r="I13" s="230" t="s">
        <v>134</v>
      </c>
      <c r="J13" s="350">
        <v>7478342.79</v>
      </c>
      <c r="K13" s="232">
        <v>4113088</v>
      </c>
      <c r="L13" s="232">
        <v>3365254.79</v>
      </c>
      <c r="M13" s="270">
        <f>K13/J13</f>
        <v>0.54999992852694579</v>
      </c>
      <c r="N13" s="233">
        <v>27500.000000000004</v>
      </c>
      <c r="O13" s="233">
        <v>2042794</v>
      </c>
      <c r="P13" s="233">
        <v>2042794</v>
      </c>
      <c r="Q13" s="232"/>
      <c r="R13" s="232"/>
      <c r="S13" s="232"/>
      <c r="T13" s="232"/>
      <c r="U13" s="232"/>
      <c r="V13" s="467"/>
      <c r="W13" s="232"/>
      <c r="X13" s="224" t="b">
        <f t="shared" si="0"/>
        <v>1</v>
      </c>
      <c r="Y13" s="225">
        <f t="shared" si="1"/>
        <v>0.55000000000000004</v>
      </c>
      <c r="Z13" s="226" t="b">
        <f t="shared" si="2"/>
        <v>0</v>
      </c>
      <c r="AA13" s="226" t="b">
        <f t="shared" si="3"/>
        <v>1</v>
      </c>
      <c r="AB13" s="510"/>
      <c r="AC13" s="511"/>
      <c r="AD13" s="512"/>
      <c r="AE13" s="511"/>
      <c r="AF13" s="538"/>
      <c r="AG13" s="538"/>
      <c r="AH13" s="538"/>
    </row>
    <row r="14" spans="1:34" s="386" customFormat="1" ht="24" thickTop="1" thickBot="1">
      <c r="A14" s="227">
        <v>12</v>
      </c>
      <c r="B14" s="240" t="s">
        <v>389</v>
      </c>
      <c r="C14" s="227" t="s">
        <v>100</v>
      </c>
      <c r="D14" s="228" t="s">
        <v>77</v>
      </c>
      <c r="E14" s="291">
        <v>2409</v>
      </c>
      <c r="F14" s="229" t="s">
        <v>117</v>
      </c>
      <c r="G14" s="230" t="s">
        <v>123</v>
      </c>
      <c r="H14" s="231">
        <v>2.4300000000000002</v>
      </c>
      <c r="I14" s="230" t="s">
        <v>131</v>
      </c>
      <c r="J14" s="350">
        <v>2550639.65</v>
      </c>
      <c r="K14" s="232">
        <v>1530383.79</v>
      </c>
      <c r="L14" s="232">
        <v>1020255.8599999999</v>
      </c>
      <c r="M14" s="270">
        <v>0.6</v>
      </c>
      <c r="N14" s="233">
        <v>489214.8</v>
      </c>
      <c r="O14" s="233">
        <v>1041168.99</v>
      </c>
      <c r="P14" s="233">
        <v>0</v>
      </c>
      <c r="Q14" s="233"/>
      <c r="R14" s="238"/>
      <c r="S14" s="238"/>
      <c r="T14" s="238"/>
      <c r="U14" s="238"/>
      <c r="V14" s="238"/>
      <c r="W14" s="232"/>
      <c r="X14" s="224" t="b">
        <f t="shared" si="0"/>
        <v>1</v>
      </c>
      <c r="Y14" s="225">
        <f t="shared" si="1"/>
        <v>0.6</v>
      </c>
      <c r="Z14" s="226" t="b">
        <f t="shared" si="2"/>
        <v>1</v>
      </c>
      <c r="AA14" s="226" t="b">
        <f t="shared" si="3"/>
        <v>1</v>
      </c>
      <c r="AB14" s="510"/>
      <c r="AC14" s="511"/>
      <c r="AD14" s="512"/>
      <c r="AE14" s="511"/>
      <c r="AF14" s="538"/>
      <c r="AG14" s="538"/>
      <c r="AH14" s="538"/>
    </row>
    <row r="15" spans="1:34" s="386" customFormat="1" ht="24" thickTop="1" thickBot="1">
      <c r="A15" s="227">
        <v>13</v>
      </c>
      <c r="B15" s="240" t="s">
        <v>390</v>
      </c>
      <c r="C15" s="227" t="s">
        <v>100</v>
      </c>
      <c r="D15" s="228" t="s">
        <v>105</v>
      </c>
      <c r="E15" s="235">
        <v>2463011</v>
      </c>
      <c r="F15" s="229" t="s">
        <v>118</v>
      </c>
      <c r="G15" s="230" t="s">
        <v>123</v>
      </c>
      <c r="H15" s="231">
        <v>2.133</v>
      </c>
      <c r="I15" s="239" t="s">
        <v>135</v>
      </c>
      <c r="J15" s="350">
        <v>24781777.579999998</v>
      </c>
      <c r="K15" s="232">
        <v>12390888.789999999</v>
      </c>
      <c r="L15" s="232">
        <v>12390888.789999999</v>
      </c>
      <c r="M15" s="270">
        <v>0.5</v>
      </c>
      <c r="N15" s="233">
        <v>1855000</v>
      </c>
      <c r="O15" s="233">
        <v>4177811.79</v>
      </c>
      <c r="P15" s="233">
        <v>4395000</v>
      </c>
      <c r="Q15" s="232">
        <v>1963077</v>
      </c>
      <c r="R15" s="232"/>
      <c r="S15" s="232"/>
      <c r="T15" s="232"/>
      <c r="U15" s="232"/>
      <c r="V15" s="467"/>
      <c r="W15" s="232"/>
      <c r="X15" s="224" t="b">
        <f t="shared" si="0"/>
        <v>1</v>
      </c>
      <c r="Y15" s="225">
        <f t="shared" si="1"/>
        <v>0.5</v>
      </c>
      <c r="Z15" s="226" t="b">
        <f t="shared" si="2"/>
        <v>1</v>
      </c>
      <c r="AA15" s="226" t="b">
        <f t="shared" si="3"/>
        <v>1</v>
      </c>
      <c r="AB15" s="510"/>
      <c r="AC15" s="511"/>
      <c r="AD15" s="512"/>
      <c r="AE15" s="511"/>
      <c r="AF15" s="538"/>
      <c r="AG15" s="538"/>
      <c r="AH15" s="538"/>
    </row>
    <row r="16" spans="1:34" s="386" customFormat="1" ht="35.25" thickTop="1" thickBot="1">
      <c r="A16" s="227">
        <v>14</v>
      </c>
      <c r="B16" s="240" t="s">
        <v>391</v>
      </c>
      <c r="C16" s="227" t="s">
        <v>100</v>
      </c>
      <c r="D16" s="228" t="s">
        <v>77</v>
      </c>
      <c r="E16" s="291">
        <v>2409</v>
      </c>
      <c r="F16" s="229" t="s">
        <v>119</v>
      </c>
      <c r="G16" s="230" t="s">
        <v>123</v>
      </c>
      <c r="H16" s="231">
        <v>0.51600000000000001</v>
      </c>
      <c r="I16" s="230" t="s">
        <v>131</v>
      </c>
      <c r="J16" s="350">
        <v>3014169.49</v>
      </c>
      <c r="K16" s="232">
        <v>1808501.69</v>
      </c>
      <c r="L16" s="232">
        <v>1205667.8000000003</v>
      </c>
      <c r="M16" s="270">
        <v>0.6</v>
      </c>
      <c r="N16" s="233">
        <v>432445.8</v>
      </c>
      <c r="O16" s="233">
        <v>1376055.89</v>
      </c>
      <c r="P16" s="233">
        <v>0</v>
      </c>
      <c r="Q16" s="233">
        <v>0</v>
      </c>
      <c r="R16" s="223"/>
      <c r="S16" s="223"/>
      <c r="T16" s="223"/>
      <c r="U16" s="223"/>
      <c r="V16" s="468"/>
      <c r="W16" s="232"/>
      <c r="X16" s="224" t="b">
        <f t="shared" si="0"/>
        <v>1</v>
      </c>
      <c r="Y16" s="225">
        <f t="shared" si="1"/>
        <v>0.6</v>
      </c>
      <c r="Z16" s="226" t="b">
        <f t="shared" si="2"/>
        <v>1</v>
      </c>
      <c r="AA16" s="226" t="b">
        <f t="shared" si="3"/>
        <v>1</v>
      </c>
      <c r="AB16" s="510"/>
      <c r="AC16" s="511"/>
      <c r="AD16" s="512"/>
      <c r="AE16" s="511"/>
      <c r="AF16" s="538"/>
      <c r="AG16" s="538"/>
      <c r="AH16" s="538"/>
    </row>
    <row r="17" spans="1:34" s="386" customFormat="1" ht="46.5" thickTop="1" thickBot="1">
      <c r="A17" s="331" t="s">
        <v>810</v>
      </c>
      <c r="B17" s="240" t="s">
        <v>392</v>
      </c>
      <c r="C17" s="227" t="s">
        <v>100</v>
      </c>
      <c r="D17" s="229" t="s">
        <v>334</v>
      </c>
      <c r="E17" s="235">
        <v>2466011</v>
      </c>
      <c r="F17" s="229" t="s">
        <v>120</v>
      </c>
      <c r="G17" s="230" t="s">
        <v>136</v>
      </c>
      <c r="H17" s="231">
        <v>1.61</v>
      </c>
      <c r="I17" s="230" t="s">
        <v>812</v>
      </c>
      <c r="J17" s="350">
        <v>42128446.07</v>
      </c>
      <c r="K17" s="232">
        <v>17354595.120000035</v>
      </c>
      <c r="L17" s="232">
        <f>J17-K17</f>
        <v>24773850.949999966</v>
      </c>
      <c r="M17" s="270">
        <v>0.5</v>
      </c>
      <c r="N17" s="236">
        <v>7866362</v>
      </c>
      <c r="O17" s="236">
        <v>9488233.1200000327</v>
      </c>
      <c r="P17" s="233"/>
      <c r="Q17" s="233"/>
      <c r="R17" s="236"/>
      <c r="S17" s="545"/>
      <c r="T17" s="233"/>
      <c r="U17" s="233"/>
      <c r="V17" s="233"/>
      <c r="W17" s="232"/>
      <c r="X17" s="224" t="b">
        <f t="shared" si="0"/>
        <v>1</v>
      </c>
      <c r="Y17" s="225">
        <f t="shared" si="1"/>
        <v>0.41189999999999999</v>
      </c>
      <c r="Z17" s="226" t="b">
        <f t="shared" si="2"/>
        <v>0</v>
      </c>
      <c r="AA17" s="226" t="b">
        <f t="shared" si="3"/>
        <v>1</v>
      </c>
      <c r="AB17" s="510"/>
      <c r="AC17" s="511"/>
      <c r="AD17" s="512"/>
      <c r="AE17" s="511"/>
      <c r="AF17" s="538"/>
      <c r="AG17" s="538"/>
      <c r="AH17" s="538"/>
    </row>
    <row r="18" spans="1:34" s="386" customFormat="1" ht="24" thickTop="1" thickBot="1">
      <c r="A18" s="227">
        <v>16</v>
      </c>
      <c r="B18" s="227" t="s">
        <v>44</v>
      </c>
      <c r="C18" s="241" t="s">
        <v>66</v>
      </c>
      <c r="D18" s="242" t="s">
        <v>45</v>
      </c>
      <c r="E18" s="518">
        <v>2468011</v>
      </c>
      <c r="F18" s="243" t="s">
        <v>46</v>
      </c>
      <c r="G18" s="227" t="s">
        <v>123</v>
      </c>
      <c r="H18" s="244">
        <v>1.92</v>
      </c>
      <c r="I18" s="245" t="s">
        <v>393</v>
      </c>
      <c r="J18" s="233">
        <v>7841830.9400000004</v>
      </c>
      <c r="K18" s="233">
        <v>3920915</v>
      </c>
      <c r="L18" s="232">
        <v>3920915.94</v>
      </c>
      <c r="M18" s="270">
        <v>0.5</v>
      </c>
      <c r="N18" s="233">
        <v>0</v>
      </c>
      <c r="O18" s="233">
        <v>500000</v>
      </c>
      <c r="P18" s="233">
        <v>1900000</v>
      </c>
      <c r="Q18" s="232">
        <v>1520915</v>
      </c>
      <c r="R18" s="232"/>
      <c r="S18" s="232"/>
      <c r="T18" s="232"/>
      <c r="U18" s="232"/>
      <c r="V18" s="467"/>
      <c r="W18" s="232"/>
      <c r="X18" s="224" t="b">
        <f t="shared" ref="X18" si="4">K18=SUM(N18:W18)</f>
        <v>1</v>
      </c>
      <c r="Y18" s="225">
        <v>0.5</v>
      </c>
      <c r="Z18" s="226" t="b">
        <f t="shared" ref="Z18" si="5">Y18=M18</f>
        <v>1</v>
      </c>
      <c r="AA18" s="226" t="b">
        <f t="shared" si="3"/>
        <v>1</v>
      </c>
      <c r="AB18" s="510"/>
      <c r="AC18" s="511"/>
      <c r="AD18" s="513"/>
      <c r="AE18" s="511"/>
      <c r="AF18" s="538"/>
      <c r="AG18" s="538"/>
      <c r="AH18" s="538"/>
    </row>
    <row r="19" spans="1:34" s="387" customFormat="1" ht="47.25" thickTop="1" thickBot="1">
      <c r="A19" s="246">
        <v>17</v>
      </c>
      <c r="B19" s="246" t="s">
        <v>47</v>
      </c>
      <c r="C19" s="247" t="s">
        <v>67</v>
      </c>
      <c r="D19" s="248" t="s">
        <v>68</v>
      </c>
      <c r="E19" s="519">
        <v>2402</v>
      </c>
      <c r="F19" s="249" t="s">
        <v>81</v>
      </c>
      <c r="G19" s="246" t="s">
        <v>123</v>
      </c>
      <c r="H19" s="250">
        <v>1.792</v>
      </c>
      <c r="I19" s="251" t="s">
        <v>431</v>
      </c>
      <c r="J19" s="254">
        <v>3800608.45</v>
      </c>
      <c r="K19" s="253">
        <v>2090334</v>
      </c>
      <c r="L19" s="254">
        <v>1710274.45</v>
      </c>
      <c r="M19" s="271">
        <v>0.55000000000000004</v>
      </c>
      <c r="N19" s="253">
        <v>0</v>
      </c>
      <c r="O19" s="253">
        <v>2090334</v>
      </c>
      <c r="P19" s="254"/>
      <c r="Q19" s="254"/>
      <c r="R19" s="254"/>
      <c r="S19" s="254"/>
      <c r="T19" s="254"/>
      <c r="U19" s="254"/>
      <c r="V19" s="470"/>
      <c r="W19" s="232"/>
      <c r="X19" s="224" t="b">
        <f t="shared" ref="X19:X36" si="6">K19=SUM(N19:W19)</f>
        <v>1</v>
      </c>
      <c r="Y19" s="225">
        <f t="shared" ref="Y19" si="7">ROUND(K19/J19,4)</f>
        <v>0.55000000000000004</v>
      </c>
      <c r="Z19" s="226" t="b">
        <f t="shared" ref="Z19:Z36" si="8">Y19=M19</f>
        <v>1</v>
      </c>
      <c r="AA19" s="226" t="b">
        <f t="shared" ref="AA19" si="9">J19=K19+L19</f>
        <v>1</v>
      </c>
      <c r="AB19" s="510"/>
      <c r="AC19" s="511"/>
      <c r="AD19" s="514"/>
      <c r="AE19" s="511"/>
      <c r="AF19" s="538"/>
      <c r="AG19" s="538"/>
      <c r="AH19" s="538"/>
    </row>
    <row r="20" spans="1:34" s="386" customFormat="1" ht="36" thickTop="1" thickBot="1">
      <c r="A20" s="227">
        <v>18</v>
      </c>
      <c r="B20" s="227" t="s">
        <v>48</v>
      </c>
      <c r="C20" s="241" t="s">
        <v>66</v>
      </c>
      <c r="D20" s="242" t="s">
        <v>69</v>
      </c>
      <c r="E20" s="235">
        <v>2467011</v>
      </c>
      <c r="F20" s="243" t="s">
        <v>82</v>
      </c>
      <c r="G20" s="227" t="s">
        <v>121</v>
      </c>
      <c r="H20" s="244">
        <v>0.59599999999999997</v>
      </c>
      <c r="I20" s="245" t="s">
        <v>831</v>
      </c>
      <c r="J20" s="236">
        <v>18369221.299999997</v>
      </c>
      <c r="K20" s="233">
        <v>9184610.6500000004</v>
      </c>
      <c r="L20" s="232">
        <v>9184610.6499999966</v>
      </c>
      <c r="M20" s="270">
        <v>0.5</v>
      </c>
      <c r="N20" s="233">
        <v>0</v>
      </c>
      <c r="O20" s="233">
        <v>2700000</v>
      </c>
      <c r="P20" s="232">
        <v>6484610.6500000004</v>
      </c>
      <c r="Q20" s="232"/>
      <c r="R20" s="232"/>
      <c r="S20" s="232"/>
      <c r="T20" s="232"/>
      <c r="U20" s="232"/>
      <c r="V20" s="467"/>
      <c r="W20" s="232"/>
      <c r="X20" s="224" t="b">
        <f t="shared" si="6"/>
        <v>1</v>
      </c>
      <c r="Y20" s="225">
        <f t="shared" ref="Y20:Y36" si="10">ROUND(K20/J20,4)</f>
        <v>0.5</v>
      </c>
      <c r="Z20" s="226" t="b">
        <f t="shared" si="8"/>
        <v>1</v>
      </c>
      <c r="AA20" s="226" t="b">
        <f t="shared" ref="AA20:AA36" si="11">J20=K20+L20</f>
        <v>1</v>
      </c>
      <c r="AB20" s="510"/>
      <c r="AC20" s="511"/>
      <c r="AD20" s="513"/>
      <c r="AE20" s="511"/>
      <c r="AF20" s="538"/>
      <c r="AG20" s="538"/>
      <c r="AH20" s="538"/>
    </row>
    <row r="21" spans="1:34" s="386" customFormat="1" ht="24.75" thickTop="1" thickBot="1">
      <c r="A21" s="227">
        <v>19</v>
      </c>
      <c r="B21" s="227" t="s">
        <v>49</v>
      </c>
      <c r="C21" s="241" t="s">
        <v>66</v>
      </c>
      <c r="D21" s="242" t="s">
        <v>70</v>
      </c>
      <c r="E21" s="518">
        <v>2410</v>
      </c>
      <c r="F21" s="243" t="s">
        <v>83</v>
      </c>
      <c r="G21" s="227" t="s">
        <v>123</v>
      </c>
      <c r="H21" s="244">
        <v>2.2370000000000001</v>
      </c>
      <c r="I21" s="245" t="s">
        <v>820</v>
      </c>
      <c r="J21" s="236">
        <v>5498316.8399999999</v>
      </c>
      <c r="K21" s="233">
        <v>3024074.26</v>
      </c>
      <c r="L21" s="232">
        <v>2474242.58</v>
      </c>
      <c r="M21" s="270">
        <f>K21/J21</f>
        <v>0.54999999963625235</v>
      </c>
      <c r="N21" s="233">
        <v>0</v>
      </c>
      <c r="O21" s="233">
        <v>3024074.26</v>
      </c>
      <c r="P21" s="232">
        <v>0</v>
      </c>
      <c r="Q21" s="232"/>
      <c r="R21" s="232"/>
      <c r="S21" s="232"/>
      <c r="T21" s="232"/>
      <c r="U21" s="232"/>
      <c r="V21" s="467"/>
      <c r="W21" s="232"/>
      <c r="X21" s="224" t="b">
        <f t="shared" si="6"/>
        <v>1</v>
      </c>
      <c r="Y21" s="225">
        <f t="shared" si="10"/>
        <v>0.55000000000000004</v>
      </c>
      <c r="Z21" s="226" t="b">
        <f t="shared" si="8"/>
        <v>0</v>
      </c>
      <c r="AA21" s="226" t="b">
        <f t="shared" si="11"/>
        <v>1</v>
      </c>
      <c r="AB21" s="510"/>
      <c r="AC21" s="511"/>
      <c r="AD21" s="513"/>
      <c r="AE21" s="511"/>
      <c r="AF21" s="538"/>
      <c r="AG21" s="538"/>
      <c r="AH21" s="538"/>
    </row>
    <row r="22" spans="1:34" s="386" customFormat="1" ht="47.25" thickTop="1" thickBot="1">
      <c r="A22" s="227">
        <v>20</v>
      </c>
      <c r="B22" s="227" t="s">
        <v>50</v>
      </c>
      <c r="C22" s="241" t="s">
        <v>66</v>
      </c>
      <c r="D22" s="242" t="s">
        <v>71</v>
      </c>
      <c r="E22" s="518">
        <v>2411</v>
      </c>
      <c r="F22" s="243" t="s">
        <v>84</v>
      </c>
      <c r="G22" s="227" t="s">
        <v>121</v>
      </c>
      <c r="H22" s="244">
        <v>0.77300000000000002</v>
      </c>
      <c r="I22" s="245" t="s">
        <v>819</v>
      </c>
      <c r="J22" s="236">
        <v>7752500.4899999993</v>
      </c>
      <c r="K22" s="233">
        <f>O22+P22</f>
        <v>4242427.2</v>
      </c>
      <c r="L22" s="232">
        <f t="shared" ref="L22:L35" si="12">J22-K22</f>
        <v>3510073.2899999991</v>
      </c>
      <c r="M22" s="270">
        <v>0.55000000000000004</v>
      </c>
      <c r="N22" s="233">
        <v>0</v>
      </c>
      <c r="O22" s="233">
        <v>2750000</v>
      </c>
      <c r="P22" s="232">
        <v>1492427.2000000002</v>
      </c>
      <c r="Q22" s="232"/>
      <c r="R22" s="232"/>
      <c r="S22" s="232"/>
      <c r="T22" s="232"/>
      <c r="U22" s="232"/>
      <c r="V22" s="467"/>
      <c r="W22" s="232"/>
      <c r="X22" s="224" t="b">
        <f t="shared" si="6"/>
        <v>1</v>
      </c>
      <c r="Y22" s="225">
        <f t="shared" si="10"/>
        <v>0.54720000000000002</v>
      </c>
      <c r="Z22" s="226" t="b">
        <f t="shared" si="8"/>
        <v>0</v>
      </c>
      <c r="AA22" s="226" t="b">
        <f t="shared" si="11"/>
        <v>1</v>
      </c>
      <c r="AB22" s="510"/>
      <c r="AC22" s="511"/>
      <c r="AD22" s="513"/>
      <c r="AE22" s="511"/>
      <c r="AF22" s="538"/>
      <c r="AG22" s="538"/>
      <c r="AH22" s="538"/>
    </row>
    <row r="23" spans="1:34" s="387" customFormat="1" ht="24.75" thickTop="1" thickBot="1">
      <c r="A23" s="246">
        <v>21</v>
      </c>
      <c r="B23" s="246" t="s">
        <v>51</v>
      </c>
      <c r="C23" s="247" t="s">
        <v>67</v>
      </c>
      <c r="D23" s="248" t="s">
        <v>72</v>
      </c>
      <c r="E23" s="519">
        <v>2405</v>
      </c>
      <c r="F23" s="249" t="s">
        <v>85</v>
      </c>
      <c r="G23" s="246" t="s">
        <v>123</v>
      </c>
      <c r="H23" s="250">
        <v>0.627</v>
      </c>
      <c r="I23" s="251" t="s">
        <v>830</v>
      </c>
      <c r="J23" s="252">
        <v>1145038.23</v>
      </c>
      <c r="K23" s="253">
        <v>687022.93</v>
      </c>
      <c r="L23" s="254">
        <v>458015.29999999993</v>
      </c>
      <c r="M23" s="271">
        <v>0.6</v>
      </c>
      <c r="N23" s="253">
        <v>0</v>
      </c>
      <c r="O23" s="254">
        <f>K23</f>
        <v>687022.93</v>
      </c>
      <c r="P23" s="253"/>
      <c r="Q23" s="254"/>
      <c r="R23" s="254"/>
      <c r="S23" s="254"/>
      <c r="T23" s="254"/>
      <c r="U23" s="254"/>
      <c r="V23" s="470"/>
      <c r="W23" s="232"/>
      <c r="X23" s="224" t="b">
        <f t="shared" si="6"/>
        <v>1</v>
      </c>
      <c r="Y23" s="225">
        <f t="shared" si="10"/>
        <v>0.6</v>
      </c>
      <c r="Z23" s="226" t="b">
        <f t="shared" si="8"/>
        <v>1</v>
      </c>
      <c r="AA23" s="226" t="b">
        <f t="shared" si="11"/>
        <v>1</v>
      </c>
      <c r="AB23" s="510"/>
      <c r="AC23" s="511"/>
      <c r="AD23" s="514"/>
      <c r="AE23" s="511"/>
      <c r="AF23" s="538"/>
      <c r="AG23" s="538"/>
      <c r="AH23" s="538"/>
    </row>
    <row r="24" spans="1:34" s="387" customFormat="1" ht="24.75" thickTop="1" thickBot="1">
      <c r="A24" s="246">
        <v>22</v>
      </c>
      <c r="B24" s="246" t="s">
        <v>52</v>
      </c>
      <c r="C24" s="247" t="s">
        <v>67</v>
      </c>
      <c r="D24" s="248" t="s">
        <v>72</v>
      </c>
      <c r="E24" s="519">
        <v>2405</v>
      </c>
      <c r="F24" s="249" t="s">
        <v>86</v>
      </c>
      <c r="G24" s="246" t="s">
        <v>123</v>
      </c>
      <c r="H24" s="250">
        <v>0.59399999999999997</v>
      </c>
      <c r="I24" s="251" t="s">
        <v>830</v>
      </c>
      <c r="J24" s="252">
        <v>2596669.1999999997</v>
      </c>
      <c r="K24" s="253">
        <v>1558001.52</v>
      </c>
      <c r="L24" s="254">
        <v>1038667.6799999997</v>
      </c>
      <c r="M24" s="271">
        <v>0.6</v>
      </c>
      <c r="N24" s="253">
        <v>0</v>
      </c>
      <c r="O24" s="254">
        <f>K24</f>
        <v>1558001.52</v>
      </c>
      <c r="P24" s="253"/>
      <c r="Q24" s="254"/>
      <c r="R24" s="254"/>
      <c r="S24" s="254"/>
      <c r="T24" s="254"/>
      <c r="U24" s="254"/>
      <c r="V24" s="470"/>
      <c r="W24" s="232"/>
      <c r="X24" s="224" t="b">
        <f t="shared" si="6"/>
        <v>1</v>
      </c>
      <c r="Y24" s="225">
        <f t="shared" si="10"/>
        <v>0.6</v>
      </c>
      <c r="Z24" s="226" t="b">
        <f t="shared" si="8"/>
        <v>1</v>
      </c>
      <c r="AA24" s="226" t="b">
        <f t="shared" si="11"/>
        <v>1</v>
      </c>
      <c r="AB24" s="510"/>
      <c r="AC24" s="511"/>
      <c r="AD24" s="514"/>
      <c r="AE24" s="511"/>
      <c r="AF24" s="538"/>
      <c r="AG24" s="538"/>
      <c r="AH24" s="538"/>
    </row>
    <row r="25" spans="1:34" s="387" customFormat="1" ht="47.25" thickTop="1" thickBot="1">
      <c r="A25" s="246">
        <v>23</v>
      </c>
      <c r="B25" s="246" t="s">
        <v>53</v>
      </c>
      <c r="C25" s="247" t="s">
        <v>67</v>
      </c>
      <c r="D25" s="248" t="s">
        <v>73</v>
      </c>
      <c r="E25" s="519">
        <v>2416</v>
      </c>
      <c r="F25" s="249" t="s">
        <v>87</v>
      </c>
      <c r="G25" s="246" t="s">
        <v>123</v>
      </c>
      <c r="H25" s="250">
        <v>4.47</v>
      </c>
      <c r="I25" s="251" t="s">
        <v>828</v>
      </c>
      <c r="J25" s="252">
        <v>4653193.51</v>
      </c>
      <c r="K25" s="253">
        <v>3722554.8</v>
      </c>
      <c r="L25" s="254">
        <v>930638.71</v>
      </c>
      <c r="M25" s="271">
        <f>K25/J25</f>
        <v>0.79999999828075063</v>
      </c>
      <c r="N25" s="253">
        <v>0</v>
      </c>
      <c r="O25" s="254">
        <f>K25</f>
        <v>3722554.8</v>
      </c>
      <c r="P25" s="253"/>
      <c r="Q25" s="254"/>
      <c r="R25" s="254"/>
      <c r="S25" s="254"/>
      <c r="T25" s="254"/>
      <c r="U25" s="254"/>
      <c r="V25" s="470"/>
      <c r="W25" s="232"/>
      <c r="X25" s="224" t="b">
        <f t="shared" si="6"/>
        <v>1</v>
      </c>
      <c r="Y25" s="225">
        <f t="shared" si="10"/>
        <v>0.8</v>
      </c>
      <c r="Z25" s="226" t="b">
        <f t="shared" si="8"/>
        <v>0</v>
      </c>
      <c r="AA25" s="226" t="b">
        <f t="shared" si="11"/>
        <v>1</v>
      </c>
      <c r="AB25" s="510"/>
      <c r="AC25" s="511"/>
      <c r="AD25" s="514"/>
      <c r="AE25" s="511"/>
      <c r="AF25" s="538"/>
      <c r="AG25" s="538"/>
      <c r="AH25" s="538"/>
    </row>
    <row r="26" spans="1:34" s="387" customFormat="1" ht="24.75" thickTop="1" thickBot="1">
      <c r="A26" s="246">
        <v>24</v>
      </c>
      <c r="B26" s="246" t="s">
        <v>54</v>
      </c>
      <c r="C26" s="247" t="s">
        <v>67</v>
      </c>
      <c r="D26" s="248" t="s">
        <v>74</v>
      </c>
      <c r="E26" s="519">
        <v>2415</v>
      </c>
      <c r="F26" s="249" t="s">
        <v>88</v>
      </c>
      <c r="G26" s="246" t="s">
        <v>123</v>
      </c>
      <c r="H26" s="250">
        <v>0.872</v>
      </c>
      <c r="I26" s="251" t="s">
        <v>829</v>
      </c>
      <c r="J26" s="252">
        <v>3447725.6100000003</v>
      </c>
      <c r="K26" s="252">
        <v>1723862.8</v>
      </c>
      <c r="L26" s="252">
        <v>1723862.81</v>
      </c>
      <c r="M26" s="271">
        <v>0.5</v>
      </c>
      <c r="N26" s="253">
        <v>0</v>
      </c>
      <c r="O26" s="254">
        <f>K26</f>
        <v>1723862.8</v>
      </c>
      <c r="P26" s="253"/>
      <c r="Q26" s="254"/>
      <c r="R26" s="254"/>
      <c r="S26" s="254"/>
      <c r="T26" s="254"/>
      <c r="U26" s="254"/>
      <c r="V26" s="470"/>
      <c r="W26" s="232"/>
      <c r="X26" s="224" t="b">
        <f t="shared" si="6"/>
        <v>1</v>
      </c>
      <c r="Y26" s="225">
        <f t="shared" si="10"/>
        <v>0.5</v>
      </c>
      <c r="Z26" s="226" t="b">
        <f t="shared" si="8"/>
        <v>1</v>
      </c>
      <c r="AA26" s="226" t="b">
        <f t="shared" si="11"/>
        <v>1</v>
      </c>
      <c r="AB26" s="510"/>
      <c r="AC26" s="511"/>
      <c r="AD26" s="514"/>
      <c r="AE26" s="511"/>
      <c r="AF26" s="538"/>
      <c r="AG26" s="538"/>
      <c r="AH26" s="538"/>
    </row>
    <row r="27" spans="1:34" s="387" customFormat="1" ht="57" customHeight="1" thickTop="1" thickBot="1">
      <c r="A27" s="246">
        <v>25</v>
      </c>
      <c r="B27" s="246" t="s">
        <v>55</v>
      </c>
      <c r="C27" s="247" t="s">
        <v>67</v>
      </c>
      <c r="D27" s="248" t="s">
        <v>75</v>
      </c>
      <c r="E27" s="519">
        <v>2403</v>
      </c>
      <c r="F27" s="249" t="s">
        <v>89</v>
      </c>
      <c r="G27" s="246" t="s">
        <v>121</v>
      </c>
      <c r="H27" s="250">
        <v>0.98599999999999999</v>
      </c>
      <c r="I27" s="251" t="s">
        <v>823</v>
      </c>
      <c r="J27" s="252">
        <v>3249193.56</v>
      </c>
      <c r="K27" s="253">
        <v>1787056.45</v>
      </c>
      <c r="L27" s="254">
        <v>1462137.11</v>
      </c>
      <c r="M27" s="271">
        <f>K27/J27</f>
        <v>0.54999999753785056</v>
      </c>
      <c r="N27" s="253">
        <v>0</v>
      </c>
      <c r="O27" s="254">
        <v>1787056.45</v>
      </c>
      <c r="P27" s="253"/>
      <c r="Q27" s="254"/>
      <c r="R27" s="254"/>
      <c r="S27" s="254"/>
      <c r="T27" s="254"/>
      <c r="U27" s="254"/>
      <c r="V27" s="470"/>
      <c r="W27" s="232"/>
      <c r="X27" s="224" t="b">
        <f t="shared" si="6"/>
        <v>1</v>
      </c>
      <c r="Y27" s="225">
        <f t="shared" si="10"/>
        <v>0.55000000000000004</v>
      </c>
      <c r="Z27" s="226" t="b">
        <f t="shared" si="8"/>
        <v>0</v>
      </c>
      <c r="AA27" s="226" t="b">
        <f t="shared" si="11"/>
        <v>1</v>
      </c>
      <c r="AB27" s="510"/>
      <c r="AC27" s="511"/>
      <c r="AD27" s="514"/>
      <c r="AE27" s="511"/>
      <c r="AF27" s="538"/>
      <c r="AG27" s="538"/>
      <c r="AH27" s="538"/>
    </row>
    <row r="28" spans="1:34" s="387" customFormat="1" ht="47.25" thickTop="1" thickBot="1">
      <c r="A28" s="246">
        <v>26</v>
      </c>
      <c r="B28" s="246" t="s">
        <v>56</v>
      </c>
      <c r="C28" s="247" t="s">
        <v>67</v>
      </c>
      <c r="D28" s="248" t="s">
        <v>68</v>
      </c>
      <c r="E28" s="519">
        <v>2402</v>
      </c>
      <c r="F28" s="249" t="s">
        <v>90</v>
      </c>
      <c r="G28" s="246" t="s">
        <v>123</v>
      </c>
      <c r="H28" s="250">
        <v>1.0289999999999999</v>
      </c>
      <c r="I28" s="251" t="s">
        <v>431</v>
      </c>
      <c r="J28" s="252">
        <v>6630389.2300000004</v>
      </c>
      <c r="K28" s="253">
        <v>3646714</v>
      </c>
      <c r="L28" s="254">
        <v>2983675.23</v>
      </c>
      <c r="M28" s="271">
        <v>0.55000000000000004</v>
      </c>
      <c r="N28" s="253">
        <v>0</v>
      </c>
      <c r="O28" s="254">
        <v>3646714</v>
      </c>
      <c r="P28" s="253"/>
      <c r="Q28" s="254"/>
      <c r="R28" s="254"/>
      <c r="S28" s="254"/>
      <c r="T28" s="254"/>
      <c r="U28" s="254"/>
      <c r="V28" s="470"/>
      <c r="W28" s="232"/>
      <c r="X28" s="224" t="b">
        <f t="shared" si="6"/>
        <v>1</v>
      </c>
      <c r="Y28" s="225">
        <f t="shared" si="10"/>
        <v>0.55000000000000004</v>
      </c>
      <c r="Z28" s="226" t="b">
        <f t="shared" si="8"/>
        <v>1</v>
      </c>
      <c r="AA28" s="226" t="b">
        <f t="shared" si="11"/>
        <v>1</v>
      </c>
      <c r="AB28" s="510"/>
      <c r="AC28" s="511"/>
      <c r="AD28" s="514"/>
      <c r="AE28" s="511"/>
      <c r="AF28" s="538"/>
      <c r="AG28" s="538"/>
      <c r="AH28" s="538"/>
    </row>
    <row r="29" spans="1:34" s="387" customFormat="1" ht="47.25" thickTop="1" thickBot="1">
      <c r="A29" s="246">
        <v>27</v>
      </c>
      <c r="B29" s="246" t="s">
        <v>57</v>
      </c>
      <c r="C29" s="247" t="s">
        <v>67</v>
      </c>
      <c r="D29" s="248" t="s">
        <v>73</v>
      </c>
      <c r="E29" s="519">
        <v>2416</v>
      </c>
      <c r="F29" s="249" t="s">
        <v>91</v>
      </c>
      <c r="G29" s="246" t="s">
        <v>123</v>
      </c>
      <c r="H29" s="388">
        <v>5.5049999999999999</v>
      </c>
      <c r="I29" s="251" t="s">
        <v>395</v>
      </c>
      <c r="J29" s="252">
        <v>2837482.75</v>
      </c>
      <c r="K29" s="253">
        <v>2269986.2000000002</v>
      </c>
      <c r="L29" s="254">
        <v>567496.54999999981</v>
      </c>
      <c r="M29" s="271">
        <v>0.8</v>
      </c>
      <c r="N29" s="253"/>
      <c r="O29" s="254">
        <f>K29</f>
        <v>2269986.2000000002</v>
      </c>
      <c r="P29" s="253"/>
      <c r="Q29" s="254"/>
      <c r="R29" s="254"/>
      <c r="S29" s="254"/>
      <c r="T29" s="254"/>
      <c r="U29" s="254"/>
      <c r="V29" s="470"/>
      <c r="W29" s="232"/>
      <c r="X29" s="224" t="b">
        <f t="shared" si="6"/>
        <v>1</v>
      </c>
      <c r="Y29" s="225">
        <f t="shared" si="10"/>
        <v>0.8</v>
      </c>
      <c r="Z29" s="226" t="b">
        <f t="shared" si="8"/>
        <v>1</v>
      </c>
      <c r="AA29" s="226" t="b">
        <f t="shared" si="11"/>
        <v>1</v>
      </c>
      <c r="AB29" s="510"/>
      <c r="AC29" s="511"/>
      <c r="AD29" s="514"/>
      <c r="AE29" s="511"/>
      <c r="AF29" s="538"/>
      <c r="AG29" s="538"/>
      <c r="AH29" s="538"/>
    </row>
    <row r="30" spans="1:34" s="387" customFormat="1" ht="24.75" thickTop="1" thickBot="1">
      <c r="A30" s="246">
        <v>28</v>
      </c>
      <c r="B30" s="246" t="s">
        <v>58</v>
      </c>
      <c r="C30" s="247" t="s">
        <v>67</v>
      </c>
      <c r="D30" s="248" t="s">
        <v>76</v>
      </c>
      <c r="E30" s="519">
        <v>2413</v>
      </c>
      <c r="F30" s="249" t="s">
        <v>92</v>
      </c>
      <c r="G30" s="246" t="s">
        <v>121</v>
      </c>
      <c r="H30" s="250">
        <v>0.70099999999999996</v>
      </c>
      <c r="I30" s="251" t="s">
        <v>394</v>
      </c>
      <c r="J30" s="252">
        <v>5483198.8899999997</v>
      </c>
      <c r="K30" s="253">
        <v>2741599.4399999995</v>
      </c>
      <c r="L30" s="254">
        <v>2741599.45</v>
      </c>
      <c r="M30" s="271">
        <v>0.5</v>
      </c>
      <c r="N30" s="253">
        <v>0</v>
      </c>
      <c r="O30" s="254">
        <f>K30</f>
        <v>2741599.4399999995</v>
      </c>
      <c r="P30" s="253"/>
      <c r="Q30" s="254"/>
      <c r="R30" s="254"/>
      <c r="S30" s="254"/>
      <c r="T30" s="254"/>
      <c r="U30" s="254"/>
      <c r="V30" s="470"/>
      <c r="W30" s="232"/>
      <c r="X30" s="224" t="b">
        <f t="shared" si="6"/>
        <v>1</v>
      </c>
      <c r="Y30" s="225">
        <f t="shared" si="10"/>
        <v>0.5</v>
      </c>
      <c r="Z30" s="226" t="b">
        <f t="shared" si="8"/>
        <v>1</v>
      </c>
      <c r="AA30" s="226" t="b">
        <f t="shared" si="11"/>
        <v>1</v>
      </c>
      <c r="AB30" s="510"/>
      <c r="AC30" s="511"/>
      <c r="AD30" s="514"/>
      <c r="AE30" s="511"/>
      <c r="AF30" s="538"/>
      <c r="AG30" s="538"/>
      <c r="AH30" s="538"/>
    </row>
    <row r="31" spans="1:34" s="387" customFormat="1" ht="24.75" thickTop="1" thickBot="1">
      <c r="A31" s="246">
        <v>29</v>
      </c>
      <c r="B31" s="246" t="s">
        <v>59</v>
      </c>
      <c r="C31" s="247" t="s">
        <v>67</v>
      </c>
      <c r="D31" s="248" t="s">
        <v>77</v>
      </c>
      <c r="E31" s="519">
        <v>2409</v>
      </c>
      <c r="F31" s="249" t="s">
        <v>93</v>
      </c>
      <c r="G31" s="246" t="s">
        <v>123</v>
      </c>
      <c r="H31" s="250">
        <v>2.2709999999999999</v>
      </c>
      <c r="I31" s="251" t="s">
        <v>399</v>
      </c>
      <c r="J31" s="252">
        <v>1194874.8999999999</v>
      </c>
      <c r="K31" s="253">
        <v>896156.17</v>
      </c>
      <c r="L31" s="254">
        <v>298718.73</v>
      </c>
      <c r="M31" s="271">
        <v>0.75</v>
      </c>
      <c r="N31" s="253"/>
      <c r="O31" s="254">
        <v>896156.17</v>
      </c>
      <c r="P31" s="253"/>
      <c r="Q31" s="254"/>
      <c r="R31" s="254"/>
      <c r="S31" s="254"/>
      <c r="T31" s="254"/>
      <c r="U31" s="254"/>
      <c r="V31" s="470"/>
      <c r="W31" s="232"/>
      <c r="X31" s="224" t="b">
        <f t="shared" si="6"/>
        <v>1</v>
      </c>
      <c r="Y31" s="225">
        <f t="shared" si="10"/>
        <v>0.75</v>
      </c>
      <c r="Z31" s="226" t="b">
        <f t="shared" si="8"/>
        <v>1</v>
      </c>
      <c r="AA31" s="226" t="b">
        <f t="shared" si="11"/>
        <v>1</v>
      </c>
      <c r="AB31" s="510"/>
      <c r="AC31" s="511"/>
      <c r="AD31" s="514"/>
      <c r="AE31" s="511"/>
      <c r="AF31" s="538"/>
      <c r="AG31" s="538"/>
      <c r="AH31" s="538"/>
    </row>
    <row r="32" spans="1:34" s="387" customFormat="1" ht="36" thickTop="1" thickBot="1">
      <c r="A32" s="246">
        <v>30</v>
      </c>
      <c r="B32" s="246" t="s">
        <v>60</v>
      </c>
      <c r="C32" s="247" t="s">
        <v>67</v>
      </c>
      <c r="D32" s="248" t="s">
        <v>78</v>
      </c>
      <c r="E32" s="519">
        <v>2417</v>
      </c>
      <c r="F32" s="249" t="s">
        <v>94</v>
      </c>
      <c r="G32" s="246" t="s">
        <v>123</v>
      </c>
      <c r="H32" s="250">
        <v>1.2969999999999999</v>
      </c>
      <c r="I32" s="251" t="s">
        <v>851</v>
      </c>
      <c r="J32" s="520">
        <v>1762731.96</v>
      </c>
      <c r="K32" s="282">
        <v>1233912.3700000001</v>
      </c>
      <c r="L32" s="521">
        <v>528819.59</v>
      </c>
      <c r="M32" s="271">
        <v>0.7</v>
      </c>
      <c r="N32" s="253"/>
      <c r="O32" s="520">
        <v>1233912.3700000001</v>
      </c>
      <c r="P32" s="253"/>
      <c r="Q32" s="254"/>
      <c r="R32" s="254"/>
      <c r="S32" s="254"/>
      <c r="T32" s="254"/>
      <c r="U32" s="254"/>
      <c r="V32" s="470"/>
      <c r="W32" s="232"/>
      <c r="X32" s="224" t="b">
        <f t="shared" si="6"/>
        <v>1</v>
      </c>
      <c r="Y32" s="225">
        <f t="shared" si="10"/>
        <v>0.7</v>
      </c>
      <c r="Z32" s="226" t="b">
        <f t="shared" si="8"/>
        <v>1</v>
      </c>
      <c r="AA32" s="226" t="b">
        <f t="shared" si="11"/>
        <v>1</v>
      </c>
      <c r="AB32" s="510"/>
      <c r="AC32" s="511"/>
      <c r="AD32" s="514"/>
      <c r="AE32" s="511"/>
      <c r="AF32" s="538"/>
      <c r="AG32" s="538"/>
      <c r="AH32" s="538"/>
    </row>
    <row r="33" spans="1:34" s="387" customFormat="1" ht="24.75" thickTop="1" thickBot="1">
      <c r="A33" s="246">
        <v>31</v>
      </c>
      <c r="B33" s="246" t="s">
        <v>61</v>
      </c>
      <c r="C33" s="246" t="s">
        <v>67</v>
      </c>
      <c r="D33" s="248" t="s">
        <v>75</v>
      </c>
      <c r="E33" s="519">
        <v>2403</v>
      </c>
      <c r="F33" s="249" t="s">
        <v>95</v>
      </c>
      <c r="G33" s="246" t="s">
        <v>397</v>
      </c>
      <c r="H33" s="250">
        <v>0.98599999999999999</v>
      </c>
      <c r="I33" s="251" t="s">
        <v>398</v>
      </c>
      <c r="J33" s="252">
        <f>SUM(K33:L33)</f>
        <v>660447.15</v>
      </c>
      <c r="K33" s="252">
        <v>363245</v>
      </c>
      <c r="L33" s="254">
        <v>297202.15000000002</v>
      </c>
      <c r="M33" s="271">
        <f>K33/J33*100%</f>
        <v>0.54999858807778945</v>
      </c>
      <c r="N33" s="253">
        <v>0</v>
      </c>
      <c r="O33" s="254">
        <f>K33</f>
        <v>363245</v>
      </c>
      <c r="P33" s="253"/>
      <c r="Q33" s="254"/>
      <c r="R33" s="254"/>
      <c r="S33" s="254"/>
      <c r="T33" s="254"/>
      <c r="U33" s="254"/>
      <c r="V33" s="470"/>
      <c r="W33" s="232"/>
      <c r="X33" s="224" t="b">
        <f t="shared" si="6"/>
        <v>1</v>
      </c>
      <c r="Y33" s="225">
        <f t="shared" si="10"/>
        <v>0.55000000000000004</v>
      </c>
      <c r="Z33" s="226" t="b">
        <f t="shared" si="8"/>
        <v>0</v>
      </c>
      <c r="AA33" s="226" t="b">
        <f t="shared" si="11"/>
        <v>1</v>
      </c>
      <c r="AB33" s="510"/>
      <c r="AC33" s="511"/>
      <c r="AD33" s="514"/>
      <c r="AE33" s="511"/>
      <c r="AF33" s="538"/>
      <c r="AG33" s="538"/>
      <c r="AH33" s="538"/>
    </row>
    <row r="34" spans="1:34" s="387" customFormat="1" ht="24" thickTop="1" thickBot="1">
      <c r="A34" s="246">
        <v>32</v>
      </c>
      <c r="B34" s="246" t="s">
        <v>62</v>
      </c>
      <c r="C34" s="246" t="s">
        <v>67</v>
      </c>
      <c r="D34" s="248" t="s">
        <v>79</v>
      </c>
      <c r="E34" s="255">
        <v>2464011</v>
      </c>
      <c r="F34" s="249" t="s">
        <v>96</v>
      </c>
      <c r="G34" s="246" t="s">
        <v>123</v>
      </c>
      <c r="H34" s="250">
        <v>0.26</v>
      </c>
      <c r="I34" s="251" t="s">
        <v>823</v>
      </c>
      <c r="J34" s="252">
        <v>1574986.85</v>
      </c>
      <c r="K34" s="253">
        <v>787493</v>
      </c>
      <c r="L34" s="254">
        <v>787493.85</v>
      </c>
      <c r="M34" s="271">
        <v>0.5</v>
      </c>
      <c r="N34" s="253">
        <v>0</v>
      </c>
      <c r="O34" s="253">
        <v>787493</v>
      </c>
      <c r="P34" s="253"/>
      <c r="Q34" s="254"/>
      <c r="R34" s="254"/>
      <c r="S34" s="254"/>
      <c r="T34" s="254"/>
      <c r="U34" s="254"/>
      <c r="V34" s="470"/>
      <c r="W34" s="232"/>
      <c r="X34" s="224" t="b">
        <f t="shared" si="6"/>
        <v>1</v>
      </c>
      <c r="Y34" s="225">
        <f t="shared" si="10"/>
        <v>0.5</v>
      </c>
      <c r="Z34" s="226" t="b">
        <f t="shared" si="8"/>
        <v>1</v>
      </c>
      <c r="AA34" s="226" t="b">
        <f t="shared" si="11"/>
        <v>1</v>
      </c>
      <c r="AB34" s="510"/>
      <c r="AC34" s="511"/>
      <c r="AD34" s="514"/>
      <c r="AE34" s="511"/>
      <c r="AF34" s="538"/>
      <c r="AG34" s="538"/>
      <c r="AH34" s="538"/>
    </row>
    <row r="35" spans="1:34" s="386" customFormat="1" ht="24.75" thickTop="1" thickBot="1">
      <c r="A35" s="227">
        <v>33</v>
      </c>
      <c r="B35" s="227" t="s">
        <v>63</v>
      </c>
      <c r="C35" s="227" t="s">
        <v>66</v>
      </c>
      <c r="D35" s="242" t="s">
        <v>80</v>
      </c>
      <c r="E35" s="235">
        <v>2470011</v>
      </c>
      <c r="F35" s="243" t="s">
        <v>97</v>
      </c>
      <c r="G35" s="227" t="s">
        <v>123</v>
      </c>
      <c r="H35" s="244">
        <v>0.83299999999999996</v>
      </c>
      <c r="I35" s="245" t="s">
        <v>855</v>
      </c>
      <c r="J35" s="236">
        <v>10441417</v>
      </c>
      <c r="K35" s="233">
        <f t="shared" ref="K35" si="13">ROUND(J35*M35,2)</f>
        <v>5220708.5</v>
      </c>
      <c r="L35" s="232">
        <f t="shared" si="12"/>
        <v>5220708.5</v>
      </c>
      <c r="M35" s="270">
        <v>0.5</v>
      </c>
      <c r="N35" s="233">
        <v>0</v>
      </c>
      <c r="O35" s="233">
        <v>1566212.5</v>
      </c>
      <c r="P35" s="232">
        <v>3654496</v>
      </c>
      <c r="Q35" s="232"/>
      <c r="R35" s="232"/>
      <c r="S35" s="232"/>
      <c r="T35" s="232"/>
      <c r="U35" s="232"/>
      <c r="V35" s="467"/>
      <c r="W35" s="232"/>
      <c r="X35" s="224" t="b">
        <f t="shared" si="6"/>
        <v>1</v>
      </c>
      <c r="Y35" s="225">
        <f t="shared" si="10"/>
        <v>0.5</v>
      </c>
      <c r="Z35" s="226" t="b">
        <f t="shared" si="8"/>
        <v>1</v>
      </c>
      <c r="AA35" s="226" t="b">
        <f t="shared" si="11"/>
        <v>1</v>
      </c>
      <c r="AB35" s="510"/>
      <c r="AC35" s="511"/>
      <c r="AD35" s="513"/>
      <c r="AE35" s="511"/>
      <c r="AF35" s="538"/>
      <c r="AG35" s="538"/>
      <c r="AH35" s="538"/>
    </row>
    <row r="36" spans="1:34" s="387" customFormat="1" ht="24.75" thickTop="1" thickBot="1">
      <c r="A36" s="246">
        <v>34</v>
      </c>
      <c r="B36" s="246" t="s">
        <v>64</v>
      </c>
      <c r="C36" s="246" t="s">
        <v>67</v>
      </c>
      <c r="D36" s="248" t="s">
        <v>74</v>
      </c>
      <c r="E36" s="388">
        <v>2415</v>
      </c>
      <c r="F36" s="249" t="s">
        <v>98</v>
      </c>
      <c r="G36" s="246" t="s">
        <v>123</v>
      </c>
      <c r="H36" s="250">
        <v>1.1890000000000001</v>
      </c>
      <c r="I36" s="251" t="s">
        <v>429</v>
      </c>
      <c r="J36" s="254">
        <v>2700614.81</v>
      </c>
      <c r="K36" s="253">
        <v>1350307.4</v>
      </c>
      <c r="L36" s="254">
        <v>1350307.41</v>
      </c>
      <c r="M36" s="271">
        <f>K36/J36</f>
        <v>0.49999999814856971</v>
      </c>
      <c r="N36" s="253">
        <v>0</v>
      </c>
      <c r="O36" s="253">
        <v>1350307.4</v>
      </c>
      <c r="P36" s="253"/>
      <c r="Q36" s="254"/>
      <c r="R36" s="254"/>
      <c r="S36" s="254"/>
      <c r="T36" s="254"/>
      <c r="U36" s="254"/>
      <c r="V36" s="470"/>
      <c r="W36" s="232"/>
      <c r="X36" s="224" t="b">
        <f t="shared" si="6"/>
        <v>1</v>
      </c>
      <c r="Y36" s="225">
        <f t="shared" si="10"/>
        <v>0.5</v>
      </c>
      <c r="Z36" s="226" t="b">
        <f t="shared" si="8"/>
        <v>0</v>
      </c>
      <c r="AA36" s="226" t="b">
        <f t="shared" si="11"/>
        <v>1</v>
      </c>
      <c r="AB36" s="510"/>
      <c r="AC36" s="511"/>
      <c r="AD36" s="514"/>
      <c r="AE36" s="511"/>
      <c r="AF36" s="538"/>
      <c r="AG36" s="538"/>
      <c r="AH36" s="538"/>
    </row>
    <row r="37" spans="1:34" s="387" customFormat="1" ht="24.75" thickTop="1" thickBot="1">
      <c r="A37" s="246">
        <v>35</v>
      </c>
      <c r="B37" s="256" t="s">
        <v>65</v>
      </c>
      <c r="C37" s="256" t="s">
        <v>67</v>
      </c>
      <c r="D37" s="257" t="s">
        <v>811</v>
      </c>
      <c r="E37" s="522">
        <v>2414</v>
      </c>
      <c r="F37" s="258" t="s">
        <v>99</v>
      </c>
      <c r="G37" s="256" t="s">
        <v>123</v>
      </c>
      <c r="H37" s="259">
        <v>0.39300000000000002</v>
      </c>
      <c r="I37" s="389" t="s">
        <v>825</v>
      </c>
      <c r="J37" s="481">
        <v>871200.22</v>
      </c>
      <c r="K37" s="260">
        <v>435600</v>
      </c>
      <c r="L37" s="261">
        <v>435600.22</v>
      </c>
      <c r="M37" s="272">
        <v>0.5</v>
      </c>
      <c r="N37" s="260">
        <v>0</v>
      </c>
      <c r="O37" s="260">
        <v>435600</v>
      </c>
      <c r="P37" s="260"/>
      <c r="Q37" s="261"/>
      <c r="S37" s="254"/>
      <c r="T37" s="254"/>
      <c r="U37" s="254"/>
      <c r="V37" s="470"/>
      <c r="W37" s="232"/>
      <c r="X37" s="224" t="b">
        <f t="shared" ref="X37:X39" si="14">K37=SUM(N37:W37)</f>
        <v>1</v>
      </c>
      <c r="Y37" s="225">
        <f t="shared" ref="Y37:Y39" si="15">ROUND(K37/J37,4)</f>
        <v>0.5</v>
      </c>
      <c r="Z37" s="226" t="b">
        <f t="shared" ref="Z37:Z39" si="16">Y37=M37</f>
        <v>1</v>
      </c>
      <c r="AA37" s="226" t="b">
        <f t="shared" ref="AA37:AA39" si="17">J37=K37+L37</f>
        <v>1</v>
      </c>
      <c r="AB37" s="510"/>
      <c r="AC37" s="511"/>
      <c r="AD37" s="514"/>
      <c r="AE37" s="511"/>
      <c r="AF37" s="538"/>
      <c r="AG37" s="538"/>
      <c r="AH37" s="538"/>
    </row>
    <row r="38" spans="1:34" s="387" customFormat="1" ht="91.5" thickTop="1" thickBot="1">
      <c r="A38" s="227">
        <v>36</v>
      </c>
      <c r="B38" s="227" t="s">
        <v>360</v>
      </c>
      <c r="C38" s="241" t="s">
        <v>66</v>
      </c>
      <c r="D38" s="227" t="s">
        <v>815</v>
      </c>
      <c r="E38" s="240">
        <v>2411</v>
      </c>
      <c r="F38" s="340" t="s">
        <v>369</v>
      </c>
      <c r="G38" s="227" t="s">
        <v>123</v>
      </c>
      <c r="H38" s="244">
        <v>3.9260000000000002</v>
      </c>
      <c r="I38" s="245" t="s">
        <v>833</v>
      </c>
      <c r="J38" s="346">
        <v>5825719.1100000003</v>
      </c>
      <c r="K38" s="341">
        <f>O38+P38</f>
        <v>3204145.51</v>
      </c>
      <c r="L38" s="342">
        <f t="shared" ref="L38" si="18">J38-K38</f>
        <v>2621573.6000000006</v>
      </c>
      <c r="M38" s="270">
        <f>K38/J38</f>
        <v>0.54999999991417359</v>
      </c>
      <c r="N38" s="341">
        <v>0</v>
      </c>
      <c r="O38" s="341">
        <v>2740000</v>
      </c>
      <c r="P38" s="342">
        <v>464145.51</v>
      </c>
      <c r="Q38" s="261"/>
      <c r="R38" s="254"/>
      <c r="S38" s="254"/>
      <c r="T38" s="254"/>
      <c r="U38" s="254"/>
      <c r="V38" s="470"/>
      <c r="W38" s="232"/>
      <c r="X38" s="224" t="b">
        <f t="shared" si="14"/>
        <v>1</v>
      </c>
      <c r="Y38" s="225">
        <f t="shared" si="15"/>
        <v>0.55000000000000004</v>
      </c>
      <c r="Z38" s="226" t="b">
        <f t="shared" si="16"/>
        <v>0</v>
      </c>
      <c r="AA38" s="226" t="b">
        <f t="shared" si="17"/>
        <v>1</v>
      </c>
      <c r="AB38" s="510"/>
      <c r="AC38" s="511"/>
      <c r="AD38" s="515"/>
      <c r="AE38" s="511"/>
      <c r="AF38" s="538"/>
      <c r="AG38" s="538"/>
      <c r="AH38" s="538"/>
    </row>
    <row r="39" spans="1:34" s="387" customFormat="1" ht="35.25" thickTop="1" thickBot="1">
      <c r="A39" s="227">
        <v>37</v>
      </c>
      <c r="B39" s="227" t="s">
        <v>361</v>
      </c>
      <c r="C39" s="241" t="s">
        <v>66</v>
      </c>
      <c r="D39" s="227" t="s">
        <v>816</v>
      </c>
      <c r="E39" s="240">
        <v>2463011</v>
      </c>
      <c r="F39" s="340" t="s">
        <v>370</v>
      </c>
      <c r="G39" s="227" t="s">
        <v>123</v>
      </c>
      <c r="H39" s="244">
        <v>1.1830000000000001</v>
      </c>
      <c r="I39" s="245" t="s">
        <v>422</v>
      </c>
      <c r="J39" s="346">
        <v>6491552.5199999996</v>
      </c>
      <c r="K39" s="341">
        <f>O39+P39</f>
        <v>3245776.26</v>
      </c>
      <c r="L39" s="342">
        <f>J39-K39</f>
        <v>3245776.26</v>
      </c>
      <c r="M39" s="270">
        <v>0.5</v>
      </c>
      <c r="N39" s="341">
        <v>0</v>
      </c>
      <c r="O39" s="342">
        <v>1750000</v>
      </c>
      <c r="P39" s="342">
        <v>1495776.2599999998</v>
      </c>
      <c r="Q39" s="261"/>
      <c r="R39" s="254"/>
      <c r="S39" s="254"/>
      <c r="T39" s="254"/>
      <c r="U39" s="254"/>
      <c r="V39" s="470"/>
      <c r="W39" s="232"/>
      <c r="X39" s="224" t="b">
        <f t="shared" si="14"/>
        <v>1</v>
      </c>
      <c r="Y39" s="225">
        <f t="shared" si="15"/>
        <v>0.5</v>
      </c>
      <c r="Z39" s="226" t="b">
        <f t="shared" si="16"/>
        <v>1</v>
      </c>
      <c r="AA39" s="226" t="b">
        <f t="shared" si="17"/>
        <v>1</v>
      </c>
      <c r="AB39" s="510"/>
      <c r="AC39" s="511"/>
      <c r="AD39" s="515"/>
      <c r="AE39" s="511"/>
      <c r="AF39" s="538"/>
      <c r="AG39" s="538"/>
      <c r="AH39" s="538"/>
    </row>
    <row r="40" spans="1:34" s="387" customFormat="1" ht="46.5" thickTop="1" thickBot="1">
      <c r="A40" s="227">
        <v>38</v>
      </c>
      <c r="B40" s="227" t="s">
        <v>362</v>
      </c>
      <c r="C40" s="241" t="s">
        <v>66</v>
      </c>
      <c r="D40" s="227" t="s">
        <v>817</v>
      </c>
      <c r="E40" s="240">
        <v>2475011</v>
      </c>
      <c r="F40" s="340" t="s">
        <v>371</v>
      </c>
      <c r="G40" s="227" t="s">
        <v>123</v>
      </c>
      <c r="H40" s="244">
        <v>0.63600000000000001</v>
      </c>
      <c r="I40" s="245" t="s">
        <v>821</v>
      </c>
      <c r="J40" s="341">
        <v>6638019.9299999997</v>
      </c>
      <c r="K40" s="341">
        <v>3319009.96</v>
      </c>
      <c r="L40" s="341">
        <v>3319009.97</v>
      </c>
      <c r="M40" s="270">
        <f>K40/J40</f>
        <v>0.49999999924676336</v>
      </c>
      <c r="N40" s="341">
        <v>0</v>
      </c>
      <c r="O40" s="341">
        <v>1285571.21</v>
      </c>
      <c r="P40" s="341">
        <v>2033438.75</v>
      </c>
      <c r="Q40" s="261"/>
      <c r="R40" s="254"/>
      <c r="S40" s="254"/>
      <c r="T40" s="254"/>
      <c r="U40" s="254"/>
      <c r="V40" s="470"/>
      <c r="W40" s="232"/>
      <c r="X40" s="224" t="b">
        <f t="shared" ref="X40:X41" si="19">K40=SUM(N40:W40)</f>
        <v>1</v>
      </c>
      <c r="Y40" s="225">
        <f t="shared" ref="Y40:Y41" si="20">ROUND(K40/J40,4)</f>
        <v>0.5</v>
      </c>
      <c r="Z40" s="226" t="b">
        <f t="shared" ref="Z40:Z41" si="21">Y40=M40</f>
        <v>0</v>
      </c>
      <c r="AA40" s="226" t="b">
        <f t="shared" ref="AA40:AA41" si="22">J40=K40+L40</f>
        <v>1</v>
      </c>
      <c r="AB40" s="510"/>
      <c r="AC40" s="511"/>
      <c r="AD40" s="515"/>
      <c r="AE40" s="511"/>
      <c r="AF40" s="538"/>
      <c r="AG40" s="538"/>
      <c r="AH40" s="538"/>
    </row>
    <row r="41" spans="1:34" s="387" customFormat="1" ht="35.25" thickTop="1" thickBot="1">
      <c r="A41" s="246">
        <v>39</v>
      </c>
      <c r="B41" s="343" t="s">
        <v>363</v>
      </c>
      <c r="C41" s="246" t="s">
        <v>67</v>
      </c>
      <c r="D41" s="343" t="s">
        <v>818</v>
      </c>
      <c r="E41" s="285">
        <v>2413</v>
      </c>
      <c r="F41" s="286" t="s">
        <v>372</v>
      </c>
      <c r="G41" s="246" t="s">
        <v>123</v>
      </c>
      <c r="H41" s="250">
        <v>2.4649999999999999</v>
      </c>
      <c r="I41" s="251" t="s">
        <v>394</v>
      </c>
      <c r="J41" s="523">
        <v>4203315</v>
      </c>
      <c r="K41" s="344">
        <v>2101657.5</v>
      </c>
      <c r="L41" s="345">
        <v>2101657.5</v>
      </c>
      <c r="M41" s="271">
        <v>0.5</v>
      </c>
      <c r="N41" s="344">
        <v>0</v>
      </c>
      <c r="O41" s="345">
        <f>K41</f>
        <v>2101657.5</v>
      </c>
      <c r="P41" s="342"/>
      <c r="Q41" s="261"/>
      <c r="R41" s="254"/>
      <c r="S41" s="254"/>
      <c r="T41" s="254"/>
      <c r="U41" s="254"/>
      <c r="V41" s="470"/>
      <c r="W41" s="232"/>
      <c r="X41" s="224" t="b">
        <f t="shared" si="19"/>
        <v>1</v>
      </c>
      <c r="Y41" s="225">
        <f t="shared" si="20"/>
        <v>0.5</v>
      </c>
      <c r="Z41" s="226" t="b">
        <f t="shared" si="21"/>
        <v>1</v>
      </c>
      <c r="AA41" s="226" t="b">
        <f t="shared" si="22"/>
        <v>1</v>
      </c>
      <c r="AB41" s="510"/>
      <c r="AC41" s="511"/>
      <c r="AD41" s="516"/>
      <c r="AE41" s="511"/>
      <c r="AF41" s="538"/>
      <c r="AG41" s="538"/>
      <c r="AH41" s="538"/>
    </row>
    <row r="42" spans="1:34" s="387" customFormat="1" ht="35.25" thickTop="1" thickBot="1">
      <c r="A42" s="246">
        <v>40</v>
      </c>
      <c r="B42" s="343" t="s">
        <v>364</v>
      </c>
      <c r="C42" s="246" t="s">
        <v>67</v>
      </c>
      <c r="D42" s="246" t="s">
        <v>848</v>
      </c>
      <c r="E42" s="285">
        <v>2401</v>
      </c>
      <c r="F42" s="286" t="s">
        <v>373</v>
      </c>
      <c r="G42" s="246" t="s">
        <v>123</v>
      </c>
      <c r="H42" s="250">
        <v>0.45900000000000002</v>
      </c>
      <c r="I42" s="251" t="s">
        <v>881</v>
      </c>
      <c r="J42" s="552">
        <v>1248624.75</v>
      </c>
      <c r="K42" s="344">
        <v>686743</v>
      </c>
      <c r="L42" s="345">
        <v>561881.75</v>
      </c>
      <c r="M42" s="271">
        <v>0.55000000000000004</v>
      </c>
      <c r="N42" s="344">
        <v>0</v>
      </c>
      <c r="O42" s="344">
        <v>686743</v>
      </c>
      <c r="P42" s="544"/>
      <c r="Q42" s="261"/>
      <c r="R42" s="254"/>
      <c r="S42" s="254"/>
      <c r="T42" s="254"/>
      <c r="U42" s="254"/>
      <c r="V42" s="470"/>
      <c r="W42" s="232"/>
      <c r="X42" s="224" t="b">
        <f t="shared" ref="X42:X44" si="23">K42=SUM(N42:W42)</f>
        <v>1</v>
      </c>
      <c r="Y42" s="225">
        <f t="shared" ref="Y42:Y44" si="24">ROUND(K42/J42,4)</f>
        <v>0.55000000000000004</v>
      </c>
      <c r="Z42" s="226" t="b">
        <f t="shared" ref="Z42:Z44" si="25">Y42=M42</f>
        <v>1</v>
      </c>
      <c r="AA42" s="226" t="b">
        <f t="shared" ref="AA42:AA44" si="26">J42=K42+L42</f>
        <v>1</v>
      </c>
      <c r="AB42" s="510"/>
      <c r="AC42" s="511"/>
      <c r="AD42" s="516"/>
      <c r="AE42" s="511"/>
      <c r="AF42" s="538"/>
      <c r="AG42" s="538"/>
      <c r="AH42" s="538"/>
    </row>
    <row r="43" spans="1:34" s="387" customFormat="1" ht="46.5" thickTop="1" thickBot="1">
      <c r="A43" s="246">
        <v>41</v>
      </c>
      <c r="B43" s="343" t="s">
        <v>365</v>
      </c>
      <c r="C43" s="246" t="s">
        <v>67</v>
      </c>
      <c r="D43" s="246" t="s">
        <v>849</v>
      </c>
      <c r="E43" s="285">
        <v>2404</v>
      </c>
      <c r="F43" s="286" t="s">
        <v>374</v>
      </c>
      <c r="G43" s="246" t="s">
        <v>123</v>
      </c>
      <c r="H43" s="250">
        <v>3.0289999999999999</v>
      </c>
      <c r="I43" s="251" t="s">
        <v>416</v>
      </c>
      <c r="J43" s="553">
        <v>3900999.99</v>
      </c>
      <c r="K43" s="344">
        <v>1950499.99</v>
      </c>
      <c r="L43" s="345">
        <v>1950500</v>
      </c>
      <c r="M43" s="271">
        <v>0.5</v>
      </c>
      <c r="N43" s="344">
        <v>0</v>
      </c>
      <c r="O43" s="345">
        <v>1950499.99</v>
      </c>
      <c r="P43" s="342"/>
      <c r="Q43" s="261"/>
      <c r="R43" s="254"/>
      <c r="S43" s="254"/>
      <c r="T43" s="254"/>
      <c r="U43" s="254"/>
      <c r="V43" s="470"/>
      <c r="W43" s="232"/>
      <c r="X43" s="224" t="b">
        <f t="shared" si="23"/>
        <v>1</v>
      </c>
      <c r="Y43" s="225">
        <f t="shared" si="24"/>
        <v>0.5</v>
      </c>
      <c r="Z43" s="226" t="b">
        <f t="shared" si="25"/>
        <v>1</v>
      </c>
      <c r="AA43" s="226" t="b">
        <f t="shared" si="26"/>
        <v>1</v>
      </c>
      <c r="AB43" s="510"/>
      <c r="AC43" s="511"/>
      <c r="AD43" s="516"/>
      <c r="AE43" s="511"/>
      <c r="AF43" s="538"/>
      <c r="AG43" s="538"/>
      <c r="AH43" s="538"/>
    </row>
    <row r="44" spans="1:34" s="387" customFormat="1" ht="35.25" thickTop="1" thickBot="1">
      <c r="A44" s="246">
        <v>42</v>
      </c>
      <c r="B44" s="343" t="s">
        <v>366</v>
      </c>
      <c r="C44" s="246" t="s">
        <v>67</v>
      </c>
      <c r="D44" s="246" t="s">
        <v>817</v>
      </c>
      <c r="E44" s="285">
        <v>2475011</v>
      </c>
      <c r="F44" s="286" t="s">
        <v>375</v>
      </c>
      <c r="G44" s="246" t="s">
        <v>123</v>
      </c>
      <c r="H44" s="250">
        <v>1.6879999999999999</v>
      </c>
      <c r="I44" s="251" t="s">
        <v>854</v>
      </c>
      <c r="J44" s="344">
        <v>5918048.21</v>
      </c>
      <c r="K44" s="344">
        <v>2959024.1</v>
      </c>
      <c r="L44" s="344">
        <v>2959024.11</v>
      </c>
      <c r="M44" s="271">
        <v>0.5</v>
      </c>
      <c r="N44" s="344">
        <v>0</v>
      </c>
      <c r="O44" s="345">
        <f>K44</f>
        <v>2959024.1</v>
      </c>
      <c r="P44" s="342"/>
      <c r="Q44" s="261"/>
      <c r="R44" s="254"/>
      <c r="S44" s="254"/>
      <c r="T44" s="254"/>
      <c r="U44" s="254"/>
      <c r="V44" s="470"/>
      <c r="W44" s="232"/>
      <c r="X44" s="224" t="b">
        <f t="shared" si="23"/>
        <v>1</v>
      </c>
      <c r="Y44" s="225">
        <f t="shared" si="24"/>
        <v>0.5</v>
      </c>
      <c r="Z44" s="226" t="b">
        <f t="shared" si="25"/>
        <v>1</v>
      </c>
      <c r="AA44" s="226" t="b">
        <f t="shared" si="26"/>
        <v>1</v>
      </c>
      <c r="AB44" s="510"/>
      <c r="AC44" s="511"/>
      <c r="AD44" s="516"/>
      <c r="AE44" s="511"/>
      <c r="AF44" s="538"/>
      <c r="AG44" s="538"/>
      <c r="AH44" s="538"/>
    </row>
    <row r="45" spans="1:34" s="154" customFormat="1" ht="37.5" thickTop="1" thickBot="1">
      <c r="A45" s="122">
        <v>43</v>
      </c>
      <c r="B45" s="121" t="s">
        <v>367</v>
      </c>
      <c r="C45" s="127"/>
      <c r="D45" s="121" t="s">
        <v>872</v>
      </c>
      <c r="E45" s="126">
        <v>2408</v>
      </c>
      <c r="F45" s="206" t="s">
        <v>376</v>
      </c>
      <c r="G45" s="121" t="s">
        <v>123</v>
      </c>
      <c r="H45" s="310"/>
      <c r="I45" s="268"/>
      <c r="J45" s="149"/>
      <c r="K45" s="119"/>
      <c r="L45" s="120"/>
      <c r="M45" s="132"/>
      <c r="N45" s="119"/>
      <c r="O45" s="119"/>
      <c r="P45" s="120"/>
      <c r="Q45" s="120"/>
      <c r="R45" s="120"/>
      <c r="S45" s="120"/>
      <c r="T45" s="120"/>
      <c r="U45" s="120"/>
      <c r="V45" s="120"/>
      <c r="W45" s="120"/>
      <c r="X45" s="150" t="b">
        <f>K45=SUM(N45:W45)</f>
        <v>1</v>
      </c>
      <c r="Y45" s="225" t="e">
        <f t="shared" ref="Y45:Y47" si="27">ROUND(K45/J45,4)</f>
        <v>#DIV/0!</v>
      </c>
      <c r="Z45" s="226" t="e">
        <f t="shared" ref="Z45:Z47" si="28">Y45=M45</f>
        <v>#DIV/0!</v>
      </c>
      <c r="AA45" s="226" t="b">
        <f t="shared" ref="AA45:AA47" si="29">J45=K45+L45</f>
        <v>1</v>
      </c>
      <c r="AB45" s="510"/>
      <c r="AC45" s="511"/>
      <c r="AD45" s="517"/>
      <c r="AE45" s="511"/>
      <c r="AF45" s="538"/>
      <c r="AG45" s="538"/>
      <c r="AH45" s="538"/>
    </row>
    <row r="46" spans="1:34" s="154" customFormat="1" ht="37.5" thickTop="1" thickBot="1">
      <c r="A46" s="122">
        <v>44</v>
      </c>
      <c r="B46" s="122" t="s">
        <v>368</v>
      </c>
      <c r="C46" s="122"/>
      <c r="D46" s="122" t="s">
        <v>863</v>
      </c>
      <c r="E46" s="136">
        <v>2406</v>
      </c>
      <c r="F46" s="37" t="s">
        <v>377</v>
      </c>
      <c r="G46" s="122" t="s">
        <v>123</v>
      </c>
      <c r="H46" s="311"/>
      <c r="I46" s="269"/>
      <c r="J46" s="205"/>
      <c r="K46" s="41"/>
      <c r="L46" s="42"/>
      <c r="M46" s="146"/>
      <c r="N46" s="41"/>
      <c r="O46" s="42"/>
      <c r="P46" s="342"/>
      <c r="Q46" s="120"/>
      <c r="R46" s="120"/>
      <c r="S46" s="120"/>
      <c r="T46" s="120"/>
      <c r="U46" s="120"/>
      <c r="V46" s="120"/>
      <c r="W46" s="120"/>
      <c r="X46" s="150" t="b">
        <f>K46=SUM(N46:W46)</f>
        <v>1</v>
      </c>
      <c r="Y46" s="225" t="e">
        <f t="shared" si="27"/>
        <v>#DIV/0!</v>
      </c>
      <c r="Z46" s="226" t="e">
        <f t="shared" si="28"/>
        <v>#DIV/0!</v>
      </c>
      <c r="AA46" s="226" t="b">
        <f t="shared" si="29"/>
        <v>1</v>
      </c>
      <c r="AB46" s="510"/>
      <c r="AC46" s="511"/>
      <c r="AD46" s="517"/>
      <c r="AE46" s="511"/>
      <c r="AF46" s="538"/>
      <c r="AG46" s="538"/>
      <c r="AH46" s="538"/>
    </row>
    <row r="47" spans="1:34" s="154" customFormat="1" ht="49.5" thickTop="1" thickBot="1">
      <c r="A47" s="122">
        <v>45</v>
      </c>
      <c r="B47" s="122" t="s">
        <v>775</v>
      </c>
      <c r="C47" s="122" t="s">
        <v>67</v>
      </c>
      <c r="D47" s="122" t="s">
        <v>868</v>
      </c>
      <c r="E47" s="136">
        <v>2412</v>
      </c>
      <c r="F47" s="37" t="s">
        <v>776</v>
      </c>
      <c r="G47" s="122" t="s">
        <v>397</v>
      </c>
      <c r="H47" s="311">
        <v>0.91900000000000004</v>
      </c>
      <c r="I47" s="269" t="s">
        <v>399</v>
      </c>
      <c r="J47" s="205">
        <v>1104861</v>
      </c>
      <c r="K47" s="41">
        <f>60%*J47</f>
        <v>662916.6</v>
      </c>
      <c r="L47" s="42">
        <f t="shared" ref="L47" si="30">J47-K47</f>
        <v>441944.4</v>
      </c>
      <c r="M47" s="146">
        <f>K47/J47</f>
        <v>0.6</v>
      </c>
      <c r="N47" s="41">
        <v>0</v>
      </c>
      <c r="O47" s="41">
        <f>K47</f>
        <v>662916.6</v>
      </c>
      <c r="P47" s="42"/>
      <c r="Q47" s="42"/>
      <c r="R47" s="42"/>
      <c r="S47" s="42"/>
      <c r="T47" s="42"/>
      <c r="U47" s="42"/>
      <c r="V47" s="120"/>
      <c r="W47" s="120"/>
      <c r="X47" s="150" t="b">
        <f>K47=SUM(N47:W47)</f>
        <v>1</v>
      </c>
      <c r="Y47" s="225">
        <f t="shared" si="27"/>
        <v>0.6</v>
      </c>
      <c r="Z47" s="226" t="b">
        <f t="shared" si="28"/>
        <v>1</v>
      </c>
      <c r="AA47" s="226" t="b">
        <f t="shared" si="29"/>
        <v>1</v>
      </c>
      <c r="AB47" s="510"/>
      <c r="AC47" s="511"/>
      <c r="AD47" s="517"/>
      <c r="AE47" s="511"/>
      <c r="AF47" s="538"/>
      <c r="AG47" s="538"/>
      <c r="AH47" s="538"/>
    </row>
    <row r="48" spans="1:34" ht="20.100000000000001" customHeight="1" thickTop="1" thickBot="1">
      <c r="A48" s="582" t="s">
        <v>42</v>
      </c>
      <c r="B48" s="583"/>
      <c r="C48" s="583"/>
      <c r="D48" s="583"/>
      <c r="E48" s="583"/>
      <c r="F48" s="583"/>
      <c r="G48" s="584"/>
      <c r="H48" s="262">
        <f>SUM(H3:H47)</f>
        <v>84.322000000000031</v>
      </c>
      <c r="I48" s="263" t="s">
        <v>14</v>
      </c>
      <c r="J48" s="254">
        <f>SUM(J3:J47)</f>
        <v>300103550.88999999</v>
      </c>
      <c r="K48" s="254">
        <f>SUM(K3:K47)</f>
        <v>155897435.40000004</v>
      </c>
      <c r="L48" s="254">
        <f>SUM(L3:L47)</f>
        <v>144206115.48999998</v>
      </c>
      <c r="M48" s="271" t="s">
        <v>14</v>
      </c>
      <c r="N48" s="254">
        <f>SUM(N3:N47)</f>
        <v>22374806.900000002</v>
      </c>
      <c r="O48" s="254">
        <f t="shared" ref="O48:W48" si="31">SUM(O3:O47)</f>
        <v>89791577.770000026</v>
      </c>
      <c r="P48" s="254">
        <f t="shared" si="31"/>
        <v>34207739.269999996</v>
      </c>
      <c r="Q48" s="254">
        <f t="shared" si="31"/>
        <v>9523311.4600000009</v>
      </c>
      <c r="R48" s="254">
        <f t="shared" si="31"/>
        <v>0</v>
      </c>
      <c r="S48" s="254">
        <f t="shared" si="31"/>
        <v>0</v>
      </c>
      <c r="T48" s="254">
        <f t="shared" si="31"/>
        <v>0</v>
      </c>
      <c r="U48" s="254">
        <f t="shared" si="31"/>
        <v>0</v>
      </c>
      <c r="V48" s="254">
        <f t="shared" si="31"/>
        <v>0</v>
      </c>
      <c r="W48" s="471">
        <f t="shared" si="31"/>
        <v>0</v>
      </c>
      <c r="X48" s="212" t="b">
        <f t="shared" ref="X48" si="32">K48=SUM(N48:W48)</f>
        <v>1</v>
      </c>
      <c r="Y48" s="264">
        <f t="shared" ref="Y48:Y50" si="33">ROUND(K48/J48,4)</f>
        <v>0.51949999999999996</v>
      </c>
      <c r="Z48" s="265" t="s">
        <v>14</v>
      </c>
      <c r="AA48" s="265" t="b">
        <f t="shared" ref="AA48:AA50" si="34">J48=K48+L48</f>
        <v>1</v>
      </c>
      <c r="AB48" s="510"/>
      <c r="AC48" s="511"/>
      <c r="AD48" s="26"/>
      <c r="AE48" s="511"/>
      <c r="AF48" s="538"/>
    </row>
    <row r="49" spans="1:32" s="386" customFormat="1" ht="20.100000000000001" customHeight="1" thickTop="1" thickBot="1">
      <c r="A49" s="579" t="s">
        <v>35</v>
      </c>
      <c r="B49" s="580"/>
      <c r="C49" s="580"/>
      <c r="D49" s="580"/>
      <c r="E49" s="580"/>
      <c r="F49" s="580"/>
      <c r="G49" s="581"/>
      <c r="H49" s="266">
        <f>SUMIF($C$3:$C$47,"K",H3:H47)</f>
        <v>40.686000000000007</v>
      </c>
      <c r="I49" s="267" t="s">
        <v>14</v>
      </c>
      <c r="J49" s="232">
        <f>SUMIF($C$3:$C$47,"K",J3:J47)</f>
        <v>172260768.49000001</v>
      </c>
      <c r="K49" s="232">
        <f>SUMIF($C$3:$C$47,"K",K3:K47)</f>
        <v>86881080.790000021</v>
      </c>
      <c r="L49" s="232">
        <f>SUMIF($C$3:$C$47,"K",L3:L47)</f>
        <v>85379687.699999958</v>
      </c>
      <c r="M49" s="270" t="s">
        <v>14</v>
      </c>
      <c r="N49" s="232">
        <f>SUMIF($C$3:$C$47,"K",N3:N47)</f>
        <v>22374806.900000002</v>
      </c>
      <c r="O49" s="232">
        <f t="shared" ref="O49:W49" si="35">SUMIF($C$3:$C$47,"K",O3:O47)</f>
        <v>39821032.530000031</v>
      </c>
      <c r="P49" s="232">
        <f t="shared" si="35"/>
        <v>16682844.9</v>
      </c>
      <c r="Q49" s="232">
        <f t="shared" si="35"/>
        <v>8002396.46</v>
      </c>
      <c r="R49" s="232">
        <f t="shared" si="35"/>
        <v>0</v>
      </c>
      <c r="S49" s="232">
        <f t="shared" si="35"/>
        <v>0</v>
      </c>
      <c r="T49" s="232">
        <f t="shared" si="35"/>
        <v>0</v>
      </c>
      <c r="U49" s="232">
        <f t="shared" si="35"/>
        <v>0</v>
      </c>
      <c r="V49" s="232">
        <f t="shared" si="35"/>
        <v>0</v>
      </c>
      <c r="W49" s="232">
        <f t="shared" si="35"/>
        <v>0</v>
      </c>
      <c r="X49" s="224" t="b">
        <f t="shared" ref="X49" si="36">K49=SUM(N49:W49)</f>
        <v>1</v>
      </c>
      <c r="Y49" s="225">
        <f t="shared" ref="Y49" si="37">ROUND(K49/J49,4)</f>
        <v>0.50439999999999996</v>
      </c>
      <c r="Z49" s="226" t="s">
        <v>14</v>
      </c>
      <c r="AA49" s="226" t="b">
        <f t="shared" ref="AA49" si="38">J49=K49+L49</f>
        <v>1</v>
      </c>
      <c r="AB49" s="510"/>
      <c r="AC49" s="511"/>
      <c r="AD49" s="510"/>
      <c r="AE49" s="511"/>
      <c r="AF49" s="538"/>
    </row>
    <row r="50" spans="1:32" ht="20.100000000000001" customHeight="1" thickTop="1" thickBot="1">
      <c r="A50" s="582" t="s">
        <v>36</v>
      </c>
      <c r="B50" s="583"/>
      <c r="C50" s="583"/>
      <c r="D50" s="583"/>
      <c r="E50" s="583"/>
      <c r="F50" s="583"/>
      <c r="G50" s="584"/>
      <c r="H50" s="262">
        <f>SUMIF($C$3:$C$47,"N",H3:H47)</f>
        <v>31.532000000000004</v>
      </c>
      <c r="I50" s="263" t="s">
        <v>14</v>
      </c>
      <c r="J50" s="254">
        <f>SUMIF($C$3:$C$47,"N",J3:J47)</f>
        <v>58984204.270000003</v>
      </c>
      <c r="K50" s="254">
        <f>SUMIF($C$3:$C$47,"N",K3:K47)</f>
        <v>33654687.270000003</v>
      </c>
      <c r="L50" s="254">
        <f>SUMIF($C$3:$C$47,"N",L3:L47)</f>
        <v>25329516.999999996</v>
      </c>
      <c r="M50" s="271" t="s">
        <v>14</v>
      </c>
      <c r="N50" s="254">
        <f>SUMIF($C$3:$C$47,"N",N3:N47)</f>
        <v>0</v>
      </c>
      <c r="O50" s="254">
        <f t="shared" ref="O50:W50" si="39">SUMIF($C$3:$C$47,"N",O3:O47)</f>
        <v>33654687.270000003</v>
      </c>
      <c r="P50" s="254">
        <f t="shared" si="39"/>
        <v>0</v>
      </c>
      <c r="Q50" s="254">
        <f t="shared" si="39"/>
        <v>0</v>
      </c>
      <c r="R50" s="254">
        <f t="shared" si="39"/>
        <v>0</v>
      </c>
      <c r="S50" s="254">
        <f t="shared" si="39"/>
        <v>0</v>
      </c>
      <c r="T50" s="254">
        <f t="shared" si="39"/>
        <v>0</v>
      </c>
      <c r="U50" s="254">
        <f t="shared" si="39"/>
        <v>0</v>
      </c>
      <c r="V50" s="254">
        <f t="shared" si="39"/>
        <v>0</v>
      </c>
      <c r="W50" s="254">
        <f t="shared" si="39"/>
        <v>0</v>
      </c>
      <c r="X50" s="212" t="b">
        <f>K50=SUM(N50:W50)</f>
        <v>1</v>
      </c>
      <c r="Y50" s="264">
        <f t="shared" si="33"/>
        <v>0.5706</v>
      </c>
      <c r="Z50" s="265" t="s">
        <v>14</v>
      </c>
      <c r="AA50" s="265" t="b">
        <f t="shared" si="34"/>
        <v>1</v>
      </c>
      <c r="AB50" s="510"/>
      <c r="AC50" s="511"/>
      <c r="AD50" s="26"/>
      <c r="AE50" s="511"/>
      <c r="AF50" s="538"/>
    </row>
    <row r="51" spans="1:32" s="386" customFormat="1" ht="20.100000000000001" customHeight="1" thickTop="1" thickBot="1">
      <c r="A51" s="579" t="s">
        <v>37</v>
      </c>
      <c r="B51" s="580"/>
      <c r="C51" s="580"/>
      <c r="D51" s="580"/>
      <c r="E51" s="580"/>
      <c r="F51" s="580"/>
      <c r="G51" s="581"/>
      <c r="H51" s="266">
        <f>SUMIF($C$3:$C$47,"W",H3:H47)</f>
        <v>12.103999999999999</v>
      </c>
      <c r="I51" s="267" t="s">
        <v>14</v>
      </c>
      <c r="J51" s="232">
        <f>SUMIF($C$3:$C$47,"W",J3:J47)</f>
        <v>68858578.129999995</v>
      </c>
      <c r="K51" s="232">
        <f>SUMIF($C$3:$C$47,"W",K3:K47)</f>
        <v>35361667.339999996</v>
      </c>
      <c r="L51" s="232">
        <f>SUMIF($C$18:$C$47,"W",L18:L47)</f>
        <v>33496910.789999992</v>
      </c>
      <c r="M51" s="270" t="s">
        <v>14</v>
      </c>
      <c r="N51" s="232">
        <f>SUMIF($C$3:$C$47,"W",N3:N47)</f>
        <v>0</v>
      </c>
      <c r="O51" s="232">
        <f t="shared" ref="O51:W51" si="40">SUMIF($C$3:$C$47,"W",O3:O47)</f>
        <v>16315857.969999999</v>
      </c>
      <c r="P51" s="232">
        <f t="shared" si="40"/>
        <v>17524894.370000001</v>
      </c>
      <c r="Q51" s="232">
        <f t="shared" si="40"/>
        <v>1520915</v>
      </c>
      <c r="R51" s="232">
        <f t="shared" si="40"/>
        <v>0</v>
      </c>
      <c r="S51" s="232">
        <f t="shared" si="40"/>
        <v>0</v>
      </c>
      <c r="T51" s="232">
        <f t="shared" si="40"/>
        <v>0</v>
      </c>
      <c r="U51" s="232">
        <f t="shared" si="40"/>
        <v>0</v>
      </c>
      <c r="V51" s="232">
        <f t="shared" si="40"/>
        <v>0</v>
      </c>
      <c r="W51" s="232">
        <f t="shared" si="40"/>
        <v>0</v>
      </c>
      <c r="X51" s="224" t="b">
        <f t="shared" ref="X51" si="41">K51=SUM(N51:W51)</f>
        <v>1</v>
      </c>
      <c r="Y51" s="225">
        <f t="shared" ref="Y51" si="42">ROUND(K51/J51,4)</f>
        <v>0.51349999999999996</v>
      </c>
      <c r="Z51" s="226" t="s">
        <v>14</v>
      </c>
      <c r="AA51" s="226" t="b">
        <f t="shared" ref="AA51" si="43">J51=K51+L51</f>
        <v>1</v>
      </c>
      <c r="AB51" s="510"/>
      <c r="AC51" s="511"/>
      <c r="AD51" s="510"/>
      <c r="AE51" s="511"/>
      <c r="AF51" s="538"/>
    </row>
    <row r="52" spans="1:32" ht="15.75" thickTop="1">
      <c r="A52" s="391"/>
      <c r="B52" s="392"/>
      <c r="C52" s="391"/>
      <c r="D52" s="393"/>
      <c r="E52" s="394"/>
      <c r="F52" s="395"/>
      <c r="G52" s="391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AE52" s="511"/>
      <c r="AF52" s="538"/>
    </row>
    <row r="53" spans="1:32">
      <c r="A53" s="273" t="s">
        <v>22</v>
      </c>
      <c r="B53" s="200"/>
      <c r="C53" s="123"/>
      <c r="D53" s="29"/>
      <c r="E53" s="123"/>
      <c r="F53" s="29"/>
      <c r="G53" s="123"/>
      <c r="J53" s="129"/>
      <c r="N53" s="31"/>
      <c r="O53" s="400"/>
      <c r="P53" s="31"/>
      <c r="Q53" s="400"/>
      <c r="R53" s="31"/>
      <c r="S53" s="31"/>
      <c r="T53" s="31"/>
      <c r="U53" s="31"/>
      <c r="V53" s="31"/>
      <c r="W53" s="31"/>
      <c r="X53" s="143"/>
      <c r="AA53" s="399"/>
    </row>
    <row r="54" spans="1:32">
      <c r="A54" s="274" t="s">
        <v>23</v>
      </c>
      <c r="B54" s="125"/>
      <c r="C54" s="124"/>
      <c r="D54" s="30"/>
      <c r="E54" s="124"/>
      <c r="F54" s="30"/>
      <c r="G54" s="124"/>
      <c r="J54" s="131"/>
      <c r="L54" s="499"/>
      <c r="N54" s="400"/>
      <c r="O54" s="400"/>
      <c r="P54" s="31"/>
      <c r="Q54" s="31"/>
      <c r="R54" s="31"/>
      <c r="S54" s="31"/>
      <c r="T54" s="31"/>
      <c r="U54" s="31"/>
      <c r="V54" s="31"/>
      <c r="W54" s="31"/>
      <c r="X54" s="143"/>
    </row>
    <row r="55" spans="1:32">
      <c r="A55" s="273" t="s">
        <v>40</v>
      </c>
      <c r="B55" s="392"/>
      <c r="C55" s="391"/>
      <c r="D55" s="393"/>
      <c r="E55" s="394"/>
      <c r="F55" s="395"/>
      <c r="G55" s="391"/>
      <c r="J55" s="131"/>
    </row>
    <row r="56" spans="1:32">
      <c r="A56" s="401" t="s">
        <v>857</v>
      </c>
      <c r="B56" s="392"/>
      <c r="C56" s="391"/>
      <c r="D56" s="393"/>
      <c r="E56" s="394"/>
      <c r="F56" s="395"/>
      <c r="G56" s="391"/>
      <c r="J56" s="131"/>
    </row>
    <row r="57" spans="1:32">
      <c r="A57" s="401" t="s">
        <v>860</v>
      </c>
      <c r="B57" s="144"/>
      <c r="C57" s="402"/>
      <c r="D57" s="403"/>
      <c r="E57" s="404"/>
      <c r="F57" s="405"/>
      <c r="G57" s="402"/>
      <c r="J57" s="131"/>
    </row>
    <row r="61" spans="1:32">
      <c r="N61" s="480"/>
    </row>
  </sheetData>
  <mergeCells count="18">
    <mergeCell ref="A51:G51"/>
    <mergeCell ref="A50:G50"/>
    <mergeCell ref="A49:G49"/>
    <mergeCell ref="A48:G48"/>
    <mergeCell ref="L1:L2"/>
    <mergeCell ref="D1:D2"/>
    <mergeCell ref="E1:E2"/>
    <mergeCell ref="A1:A2"/>
    <mergeCell ref="B1:B2"/>
    <mergeCell ref="C1:C2"/>
    <mergeCell ref="F1:F2"/>
    <mergeCell ref="G1:G2"/>
    <mergeCell ref="M1:M2"/>
    <mergeCell ref="N1:W1"/>
    <mergeCell ref="H1:H2"/>
    <mergeCell ref="I1:I2"/>
    <mergeCell ref="J1:J2"/>
    <mergeCell ref="K1:K2"/>
  </mergeCells>
  <conditionalFormatting sqref="X48:AA49 X3:AA40">
    <cfRule type="cellIs" dxfId="94" priority="25" operator="equal">
      <formula>FALSE</formula>
    </cfRule>
  </conditionalFormatting>
  <conditionalFormatting sqref="X48:Z49 X3:Z40">
    <cfRule type="containsText" dxfId="93" priority="23" operator="containsText" text="fałsz">
      <formula>NOT(ISERROR(SEARCH("fałsz",X3)))</formula>
    </cfRule>
  </conditionalFormatting>
  <conditionalFormatting sqref="AA53">
    <cfRule type="cellIs" dxfId="92" priority="22" operator="equal">
      <formula>FALSE</formula>
    </cfRule>
  </conditionalFormatting>
  <conditionalFormatting sqref="AA53">
    <cfRule type="cellIs" dxfId="91" priority="21" operator="equal">
      <formula>FALSE</formula>
    </cfRule>
  </conditionalFormatting>
  <conditionalFormatting sqref="Y51:Z51">
    <cfRule type="cellIs" dxfId="90" priority="20" operator="equal">
      <formula>FALSE</formula>
    </cfRule>
  </conditionalFormatting>
  <conditionalFormatting sqref="X51">
    <cfRule type="cellIs" dxfId="89" priority="19" operator="equal">
      <formula>FALSE</formula>
    </cfRule>
  </conditionalFormatting>
  <conditionalFormatting sqref="X51:Z51">
    <cfRule type="containsText" dxfId="88" priority="18" operator="containsText" text="fałsz">
      <formula>NOT(ISERROR(SEARCH("fałsz",X51)))</formula>
    </cfRule>
  </conditionalFormatting>
  <conditionalFormatting sqref="AA51">
    <cfRule type="cellIs" dxfId="87" priority="17" operator="equal">
      <formula>FALSE</formula>
    </cfRule>
  </conditionalFormatting>
  <conditionalFormatting sqref="AA51">
    <cfRule type="cellIs" dxfId="86" priority="16" operator="equal">
      <formula>FALSE</formula>
    </cfRule>
  </conditionalFormatting>
  <conditionalFormatting sqref="Y50:Z50">
    <cfRule type="cellIs" dxfId="85" priority="15" operator="equal">
      <formula>FALSE</formula>
    </cfRule>
  </conditionalFormatting>
  <conditionalFormatting sqref="X50">
    <cfRule type="cellIs" dxfId="84" priority="14" operator="equal">
      <formula>FALSE</formula>
    </cfRule>
  </conditionalFormatting>
  <conditionalFormatting sqref="X50:Z50">
    <cfRule type="containsText" dxfId="83" priority="13" operator="containsText" text="fałsz">
      <formula>NOT(ISERROR(SEARCH("fałsz",X50)))</formula>
    </cfRule>
  </conditionalFormatting>
  <conditionalFormatting sqref="AA50">
    <cfRule type="cellIs" dxfId="82" priority="12" operator="equal">
      <formula>FALSE</formula>
    </cfRule>
  </conditionalFormatting>
  <conditionalFormatting sqref="AA50">
    <cfRule type="cellIs" dxfId="81" priority="11" operator="equal">
      <formula>FALSE</formula>
    </cfRule>
  </conditionalFormatting>
  <conditionalFormatting sqref="X41:AA43">
    <cfRule type="cellIs" dxfId="80" priority="10" operator="equal">
      <formula>FALSE</formula>
    </cfRule>
  </conditionalFormatting>
  <conditionalFormatting sqref="X41:Z43">
    <cfRule type="containsText" dxfId="79" priority="9" operator="containsText" text="fałsz">
      <formula>NOT(ISERROR(SEARCH("fałsz",X41)))</formula>
    </cfRule>
  </conditionalFormatting>
  <conditionalFormatting sqref="X44:AA44 Y45:AA47">
    <cfRule type="cellIs" dxfId="78" priority="8" operator="equal">
      <formula>FALSE</formula>
    </cfRule>
  </conditionalFormatting>
  <conditionalFormatting sqref="X44:Z44 Y45:Z47">
    <cfRule type="containsText" dxfId="77" priority="7" operator="containsText" text="fałsz">
      <formula>NOT(ISERROR(SEARCH("fałsz",X44)))</formula>
    </cfRule>
  </conditionalFormatting>
  <conditionalFormatting sqref="X47">
    <cfRule type="cellIs" dxfId="76" priority="5" operator="equal">
      <formula>FALSE</formula>
    </cfRule>
  </conditionalFormatting>
  <conditionalFormatting sqref="X47">
    <cfRule type="containsText" dxfId="75" priority="6" operator="containsText" text="fałsz">
      <formula>NOT(ISERROR(SEARCH("fałsz",X47)))</formula>
    </cfRule>
  </conditionalFormatting>
  <conditionalFormatting sqref="X45:X46">
    <cfRule type="cellIs" dxfId="74" priority="3" operator="equal">
      <formula>FALSE</formula>
    </cfRule>
  </conditionalFormatting>
  <conditionalFormatting sqref="X45:X46">
    <cfRule type="containsText" dxfId="73" priority="4" operator="containsText" text="fałsz">
      <formula>NOT(ISERROR(SEARCH("fałsz",X45)))</formula>
    </cfRule>
  </conditionalFormatting>
  <conditionalFormatting sqref="X46">
    <cfRule type="cellIs" dxfId="72" priority="2" operator="equal">
      <formula>FALSE</formula>
    </cfRule>
  </conditionalFormatting>
  <conditionalFormatting sqref="X46">
    <cfRule type="containsText" dxfId="71" priority="1" operator="containsText" text="fałsz">
      <formula>NOT(ISERROR(SEARCH("fałsz",X46)))</formula>
    </cfRule>
  </conditionalFormatting>
  <dataValidations count="4">
    <dataValidation type="custom" allowBlank="1" showInputMessage="1" showErrorMessage="1" sqref="B3:B16 D3:D16 J3:J16 F3:F16 D18:D36 J20 J34:J35 D38:D44 O32 J22:J32 F18:F47 B38:B46 J37:J39 J41:J43 J45:J46">
      <formula1>NOT(B3)</formula1>
    </dataValidation>
    <dataValidation type="list" allowBlank="1" showInputMessage="1" showErrorMessage="1" sqref="C3:C37">
      <formula1>"N,K,W"</formula1>
    </dataValidation>
    <dataValidation type="list" allowBlank="1" showInputMessage="1" showErrorMessage="1" sqref="G3:G47">
      <formula1>"B,P,R"</formula1>
    </dataValidation>
    <dataValidation type="list" allowBlank="1" showInputMessage="1" showErrorMessage="1" sqref="C38:C47">
      <formula1>"N,W"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8" scale="59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105"/>
  <sheetViews>
    <sheetView showGridLines="0" view="pageBreakPreview" zoomScaleSheetLayoutView="100" workbookViewId="0">
      <pane ySplit="2" topLeftCell="A15" activePane="bottomLeft" state="frozen"/>
      <selection pane="bottomLeft" activeCell="D18" sqref="D18"/>
    </sheetView>
  </sheetViews>
  <sheetFormatPr defaultColWidth="9.140625" defaultRowHeight="21"/>
  <cols>
    <col min="1" max="1" width="9.5703125" style="452" customWidth="1"/>
    <col min="2" max="3" width="15.7109375" style="143" customWidth="1"/>
    <col min="4" max="4" width="33.28515625" style="439" customWidth="1"/>
    <col min="5" max="5" width="15.7109375" style="440" customWidth="1"/>
    <col min="6" max="6" width="15.7109375" style="118" customWidth="1"/>
    <col min="7" max="7" width="55.5703125" style="118" customWidth="1"/>
    <col min="8" max="9" width="15.7109375" style="397" customWidth="1"/>
    <col min="10" max="10" width="15.7109375" style="441" customWidth="1"/>
    <col min="11" max="11" width="17" style="118" customWidth="1"/>
    <col min="12" max="12" width="15.7109375" style="118" customWidth="1"/>
    <col min="13" max="13" width="18.5703125" style="118" customWidth="1"/>
    <col min="14" max="14" width="11.28515625" style="443" customWidth="1"/>
    <col min="15" max="16" width="15.7109375" style="118" customWidth="1"/>
    <col min="17" max="17" width="15.7109375" style="444" customWidth="1"/>
    <col min="18" max="23" width="15.7109375" style="118" customWidth="1"/>
    <col min="24" max="24" width="15.7109375" style="450" customWidth="1"/>
    <col min="25" max="27" width="15.7109375" style="442" customWidth="1"/>
    <col min="28" max="28" width="15.7109375" style="118" customWidth="1"/>
    <col min="29" max="29" width="9.140625" style="118"/>
    <col min="30" max="30" width="15.140625" style="118" customWidth="1"/>
    <col min="31" max="31" width="9.140625" style="118"/>
    <col min="32" max="32" width="21.140625" style="118" customWidth="1"/>
    <col min="33" max="33" width="11.42578125" style="118" bestFit="1" customWidth="1"/>
    <col min="34" max="34" width="12.7109375" style="118" customWidth="1"/>
    <col min="35" max="35" width="13.28515625" style="118" customWidth="1"/>
    <col min="36" max="16384" width="9.140625" style="118"/>
  </cols>
  <sheetData>
    <row r="1" spans="1:36" s="408" customFormat="1" ht="25.15" customHeight="1">
      <c r="A1" s="589" t="s">
        <v>4</v>
      </c>
      <c r="B1" s="589" t="s">
        <v>5</v>
      </c>
      <c r="C1" s="596" t="s">
        <v>41</v>
      </c>
      <c r="D1" s="590" t="s">
        <v>6</v>
      </c>
      <c r="E1" s="590" t="s">
        <v>30</v>
      </c>
      <c r="F1" s="590" t="s">
        <v>15</v>
      </c>
      <c r="G1" s="589" t="s">
        <v>7</v>
      </c>
      <c r="H1" s="589" t="s">
        <v>24</v>
      </c>
      <c r="I1" s="589" t="s">
        <v>8</v>
      </c>
      <c r="J1" s="589" t="s">
        <v>25</v>
      </c>
      <c r="K1" s="589" t="s">
        <v>9</v>
      </c>
      <c r="L1" s="589" t="s">
        <v>17</v>
      </c>
      <c r="M1" s="590" t="s">
        <v>13</v>
      </c>
      <c r="N1" s="589" t="s">
        <v>11</v>
      </c>
      <c r="O1" s="589" t="s">
        <v>12</v>
      </c>
      <c r="P1" s="589"/>
      <c r="Q1" s="589"/>
      <c r="R1" s="589"/>
      <c r="S1" s="589"/>
      <c r="T1" s="589"/>
      <c r="U1" s="589"/>
      <c r="V1" s="589"/>
      <c r="W1" s="589"/>
      <c r="X1" s="589"/>
      <c r="Y1" s="406"/>
      <c r="Z1" s="406"/>
      <c r="AA1" s="406"/>
      <c r="AB1" s="407"/>
      <c r="AC1" s="504"/>
      <c r="AD1" s="504"/>
      <c r="AE1" s="504"/>
      <c r="AF1" s="504"/>
    </row>
    <row r="2" spans="1:36" s="408" customFormat="1" ht="27" customHeight="1" thickBot="1">
      <c r="A2" s="595"/>
      <c r="B2" s="589"/>
      <c r="C2" s="597"/>
      <c r="D2" s="591"/>
      <c r="E2" s="601"/>
      <c r="F2" s="591"/>
      <c r="G2" s="589"/>
      <c r="H2" s="589"/>
      <c r="I2" s="589"/>
      <c r="J2" s="589"/>
      <c r="K2" s="589"/>
      <c r="L2" s="589"/>
      <c r="M2" s="591"/>
      <c r="N2" s="589"/>
      <c r="O2" s="543">
        <v>2019</v>
      </c>
      <c r="P2" s="543">
        <v>2020</v>
      </c>
      <c r="Q2" s="543">
        <v>2021</v>
      </c>
      <c r="R2" s="543">
        <v>2022</v>
      </c>
      <c r="S2" s="543">
        <v>2023</v>
      </c>
      <c r="T2" s="543">
        <v>2024</v>
      </c>
      <c r="U2" s="543">
        <v>2025</v>
      </c>
      <c r="V2" s="543">
        <v>2026</v>
      </c>
      <c r="W2" s="543">
        <v>2027</v>
      </c>
      <c r="X2" s="543">
        <v>2028</v>
      </c>
      <c r="Y2" s="406" t="s">
        <v>26</v>
      </c>
      <c r="Z2" s="406" t="s">
        <v>27</v>
      </c>
      <c r="AA2" s="406" t="s">
        <v>28</v>
      </c>
      <c r="AB2" s="191" t="s">
        <v>29</v>
      </c>
      <c r="AC2" s="504"/>
      <c r="AD2" s="504"/>
      <c r="AE2" s="504"/>
      <c r="AF2" s="504"/>
    </row>
    <row r="3" spans="1:36" s="413" customFormat="1" ht="46.5" thickTop="1" thickBot="1">
      <c r="A3" s="204">
        <v>1</v>
      </c>
      <c r="B3" s="141" t="s">
        <v>276</v>
      </c>
      <c r="C3" s="351" t="s">
        <v>100</v>
      </c>
      <c r="D3" s="192" t="s">
        <v>290</v>
      </c>
      <c r="E3" s="409">
        <v>2408021</v>
      </c>
      <c r="F3" s="115" t="s">
        <v>291</v>
      </c>
      <c r="G3" s="114" t="s">
        <v>292</v>
      </c>
      <c r="H3" s="177" t="s">
        <v>123</v>
      </c>
      <c r="I3" s="141">
        <v>0.442</v>
      </c>
      <c r="J3" s="114" t="s">
        <v>293</v>
      </c>
      <c r="K3" s="352">
        <v>5710088.2000000002</v>
      </c>
      <c r="L3" s="352">
        <v>2711714.5</v>
      </c>
      <c r="M3" s="352">
        <v>2998373.7</v>
      </c>
      <c r="N3" s="353">
        <f>L3/K3</f>
        <v>0.47489888159696025</v>
      </c>
      <c r="O3" s="203">
        <v>200000</v>
      </c>
      <c r="P3" s="203">
        <v>592173</v>
      </c>
      <c r="Q3" s="203">
        <v>1919541.5</v>
      </c>
      <c r="R3" s="203"/>
      <c r="S3" s="203"/>
      <c r="T3" s="203"/>
      <c r="U3" s="203"/>
      <c r="V3" s="203"/>
      <c r="W3" s="179"/>
      <c r="X3" s="203"/>
      <c r="Y3" s="410" t="b">
        <f t="shared" ref="Y3:Y19" si="0">L3=SUM(O3:X3)</f>
        <v>1</v>
      </c>
      <c r="Z3" s="411">
        <f t="shared" ref="Z3:Z19" si="1">ROUND(L3/K3,4)</f>
        <v>0.47489999999999999</v>
      </c>
      <c r="AA3" s="412" t="b">
        <f t="shared" ref="AA3:AA19" si="2">Z3=N3</f>
        <v>0</v>
      </c>
      <c r="AB3" s="412" t="b">
        <f t="shared" ref="AB3:AB19" si="3">K3=L3+M3</f>
        <v>1</v>
      </c>
      <c r="AC3" s="505"/>
      <c r="AD3" s="505"/>
      <c r="AE3" s="445"/>
      <c r="AF3" s="505"/>
      <c r="AG3" s="537"/>
      <c r="AH3" s="537"/>
      <c r="AI3" s="537"/>
      <c r="AJ3" s="537"/>
    </row>
    <row r="4" spans="1:36" ht="46.5" thickTop="1" thickBot="1">
      <c r="A4" s="181">
        <v>2</v>
      </c>
      <c r="B4" s="142" t="s">
        <v>277</v>
      </c>
      <c r="C4" s="168" t="s">
        <v>100</v>
      </c>
      <c r="D4" s="193" t="s">
        <v>169</v>
      </c>
      <c r="E4" s="414">
        <v>2406042</v>
      </c>
      <c r="F4" s="116" t="s">
        <v>294</v>
      </c>
      <c r="G4" s="113" t="s">
        <v>295</v>
      </c>
      <c r="H4" s="178" t="s">
        <v>121</v>
      </c>
      <c r="I4" s="142">
        <v>5.335</v>
      </c>
      <c r="J4" s="113" t="s">
        <v>296</v>
      </c>
      <c r="K4" s="354">
        <v>9676011.4900000002</v>
      </c>
      <c r="L4" s="354">
        <v>6773208.04</v>
      </c>
      <c r="M4" s="354">
        <v>2902803.45</v>
      </c>
      <c r="N4" s="355">
        <v>0.7</v>
      </c>
      <c r="O4" s="179">
        <v>173907.3</v>
      </c>
      <c r="P4" s="179">
        <v>2001731.9</v>
      </c>
      <c r="Q4" s="179">
        <v>2579091.9</v>
      </c>
      <c r="R4" s="179">
        <v>2018476.94</v>
      </c>
      <c r="S4" s="179"/>
      <c r="T4" s="179"/>
      <c r="U4" s="179"/>
      <c r="V4" s="179"/>
      <c r="W4" s="179"/>
      <c r="X4" s="179"/>
      <c r="Y4" s="410" t="b">
        <f t="shared" si="0"/>
        <v>1</v>
      </c>
      <c r="Z4" s="411">
        <f t="shared" si="1"/>
        <v>0.7</v>
      </c>
      <c r="AA4" s="412" t="b">
        <f t="shared" si="2"/>
        <v>1</v>
      </c>
      <c r="AB4" s="412" t="b">
        <f t="shared" si="3"/>
        <v>1</v>
      </c>
      <c r="AC4" s="505"/>
      <c r="AD4" s="505"/>
      <c r="AE4" s="445"/>
      <c r="AF4" s="505"/>
      <c r="AG4" s="537"/>
      <c r="AH4" s="537"/>
      <c r="AI4" s="537"/>
      <c r="AJ4" s="537"/>
    </row>
    <row r="5" spans="1:36" ht="46.5" thickTop="1" thickBot="1">
      <c r="A5" s="181">
        <v>3</v>
      </c>
      <c r="B5" s="142" t="s">
        <v>278</v>
      </c>
      <c r="C5" s="168" t="s">
        <v>100</v>
      </c>
      <c r="D5" s="193" t="s">
        <v>297</v>
      </c>
      <c r="E5" s="414">
        <v>2415031</v>
      </c>
      <c r="F5" s="116" t="s">
        <v>298</v>
      </c>
      <c r="G5" s="113" t="s">
        <v>299</v>
      </c>
      <c r="H5" s="189" t="s">
        <v>125</v>
      </c>
      <c r="I5" s="142">
        <v>1.159</v>
      </c>
      <c r="J5" s="113" t="s">
        <v>300</v>
      </c>
      <c r="K5" s="539">
        <v>5186688.8100000005</v>
      </c>
      <c r="L5" s="539">
        <v>2852678.84</v>
      </c>
      <c r="M5" s="539">
        <v>2334009.9700000002</v>
      </c>
      <c r="N5" s="355">
        <f>L5/K5</f>
        <v>0.54999999893959317</v>
      </c>
      <c r="O5" s="540">
        <v>397597.2</v>
      </c>
      <c r="P5" s="540">
        <v>1342064.3500000001</v>
      </c>
      <c r="Q5" s="540">
        <v>1113017.29</v>
      </c>
      <c r="R5" s="179"/>
      <c r="S5" s="179"/>
      <c r="T5" s="179"/>
      <c r="U5" s="179"/>
      <c r="V5" s="179"/>
      <c r="W5" s="179"/>
      <c r="X5" s="179"/>
      <c r="Y5" s="410" t="b">
        <f t="shared" si="0"/>
        <v>1</v>
      </c>
      <c r="Z5" s="411">
        <f t="shared" si="1"/>
        <v>0.55000000000000004</v>
      </c>
      <c r="AA5" s="412" t="b">
        <f t="shared" si="2"/>
        <v>0</v>
      </c>
      <c r="AB5" s="412" t="b">
        <f t="shared" si="3"/>
        <v>1</v>
      </c>
      <c r="AC5" s="505"/>
      <c r="AD5" s="505"/>
      <c r="AE5" s="445"/>
      <c r="AF5" s="505"/>
      <c r="AG5" s="537"/>
      <c r="AH5" s="537"/>
      <c r="AI5" s="537"/>
      <c r="AJ5" s="537"/>
    </row>
    <row r="6" spans="1:36" ht="46.5" thickTop="1" thickBot="1">
      <c r="A6" s="181">
        <v>4</v>
      </c>
      <c r="B6" s="142" t="s">
        <v>279</v>
      </c>
      <c r="C6" s="168" t="s">
        <v>100</v>
      </c>
      <c r="D6" s="193" t="s">
        <v>301</v>
      </c>
      <c r="E6" s="414">
        <v>2415052</v>
      </c>
      <c r="F6" s="116" t="s">
        <v>298</v>
      </c>
      <c r="G6" s="113" t="s">
        <v>302</v>
      </c>
      <c r="H6" s="178" t="s">
        <v>123</v>
      </c>
      <c r="I6" s="142">
        <v>1.758</v>
      </c>
      <c r="J6" s="113" t="s">
        <v>813</v>
      </c>
      <c r="K6" s="354">
        <v>5760400</v>
      </c>
      <c r="L6" s="354">
        <v>4021779.3</v>
      </c>
      <c r="M6" s="354">
        <v>1738620.7000000002</v>
      </c>
      <c r="N6" s="355">
        <v>0.7</v>
      </c>
      <c r="O6" s="179">
        <v>14000</v>
      </c>
      <c r="P6" s="179">
        <v>686000</v>
      </c>
      <c r="Q6" s="179">
        <v>3321779.3</v>
      </c>
      <c r="R6" s="179"/>
      <c r="S6" s="179"/>
      <c r="T6" s="179"/>
      <c r="U6" s="179"/>
      <c r="V6" s="179"/>
      <c r="W6" s="179"/>
      <c r="X6" s="179"/>
      <c r="Y6" s="410" t="b">
        <f t="shared" si="0"/>
        <v>1</v>
      </c>
      <c r="Z6" s="411">
        <f t="shared" si="1"/>
        <v>0.69820000000000004</v>
      </c>
      <c r="AA6" s="412" t="b">
        <f t="shared" si="2"/>
        <v>0</v>
      </c>
      <c r="AB6" s="412" t="b">
        <f t="shared" si="3"/>
        <v>1</v>
      </c>
      <c r="AC6" s="505"/>
      <c r="AD6" s="505"/>
      <c r="AE6" s="445"/>
      <c r="AF6" s="505"/>
      <c r="AG6" s="537"/>
      <c r="AH6" s="537"/>
      <c r="AI6" s="537"/>
      <c r="AJ6" s="537"/>
    </row>
    <row r="7" spans="1:36" ht="46.5" thickTop="1" thickBot="1">
      <c r="A7" s="181">
        <v>5</v>
      </c>
      <c r="B7" s="142" t="s">
        <v>280</v>
      </c>
      <c r="C7" s="168" t="s">
        <v>100</v>
      </c>
      <c r="D7" s="193" t="s">
        <v>304</v>
      </c>
      <c r="E7" s="414">
        <v>2402082</v>
      </c>
      <c r="F7" s="116" t="s">
        <v>305</v>
      </c>
      <c r="G7" s="113" t="s">
        <v>306</v>
      </c>
      <c r="H7" s="178" t="s">
        <v>123</v>
      </c>
      <c r="I7" s="142">
        <v>0.42199999999999999</v>
      </c>
      <c r="J7" s="113" t="s">
        <v>307</v>
      </c>
      <c r="K7" s="354">
        <v>1955714.45</v>
      </c>
      <c r="L7" s="354">
        <v>977857.22</v>
      </c>
      <c r="M7" s="354">
        <v>977857.23</v>
      </c>
      <c r="N7" s="355">
        <v>0.5</v>
      </c>
      <c r="O7" s="179">
        <v>28057.5</v>
      </c>
      <c r="P7" s="179">
        <v>50000</v>
      </c>
      <c r="Q7" s="179">
        <v>541038.5</v>
      </c>
      <c r="R7" s="179">
        <v>358761.22</v>
      </c>
      <c r="S7" s="179"/>
      <c r="T7" s="179"/>
      <c r="U7" s="179"/>
      <c r="V7" s="179"/>
      <c r="W7" s="179"/>
      <c r="X7" s="179"/>
      <c r="Y7" s="410" t="b">
        <f t="shared" si="0"/>
        <v>1</v>
      </c>
      <c r="Z7" s="411">
        <f t="shared" si="1"/>
        <v>0.5</v>
      </c>
      <c r="AA7" s="412" t="b">
        <f t="shared" si="2"/>
        <v>1</v>
      </c>
      <c r="AB7" s="412" t="b">
        <f t="shared" si="3"/>
        <v>1</v>
      </c>
      <c r="AC7" s="505"/>
      <c r="AD7" s="505"/>
      <c r="AE7" s="445"/>
      <c r="AF7" s="505"/>
      <c r="AG7" s="537"/>
      <c r="AH7" s="537"/>
      <c r="AI7" s="537"/>
      <c r="AJ7" s="537"/>
    </row>
    <row r="8" spans="1:36" ht="61.5" thickTop="1" thickBot="1">
      <c r="A8" s="181">
        <v>6</v>
      </c>
      <c r="B8" s="142" t="s">
        <v>281</v>
      </c>
      <c r="C8" s="168" t="s">
        <v>100</v>
      </c>
      <c r="D8" s="193" t="s">
        <v>137</v>
      </c>
      <c r="E8" s="414">
        <v>2416021</v>
      </c>
      <c r="F8" s="116" t="s">
        <v>308</v>
      </c>
      <c r="G8" s="113" t="s">
        <v>309</v>
      </c>
      <c r="H8" s="178" t="s">
        <v>123</v>
      </c>
      <c r="I8" s="142">
        <v>1.091</v>
      </c>
      <c r="J8" s="113" t="s">
        <v>122</v>
      </c>
      <c r="K8" s="354">
        <v>3132226.27</v>
      </c>
      <c r="L8" s="354">
        <v>1566113</v>
      </c>
      <c r="M8" s="354">
        <v>1566113.27</v>
      </c>
      <c r="N8" s="355">
        <f>L8/K8</f>
        <v>0.49999995689966548</v>
      </c>
      <c r="O8" s="179">
        <v>195000</v>
      </c>
      <c r="P8" s="179">
        <v>1371113</v>
      </c>
      <c r="Q8" s="179"/>
      <c r="R8" s="179"/>
      <c r="S8" s="179"/>
      <c r="T8" s="179"/>
      <c r="U8" s="179"/>
      <c r="V8" s="179"/>
      <c r="W8" s="179"/>
      <c r="X8" s="179"/>
      <c r="Y8" s="410" t="b">
        <f t="shared" si="0"/>
        <v>1</v>
      </c>
      <c r="Z8" s="411">
        <f t="shared" si="1"/>
        <v>0.5</v>
      </c>
      <c r="AA8" s="412" t="b">
        <f t="shared" si="2"/>
        <v>0</v>
      </c>
      <c r="AB8" s="412" t="b">
        <f t="shared" si="3"/>
        <v>1</v>
      </c>
      <c r="AC8" s="505"/>
      <c r="AD8" s="505"/>
      <c r="AE8" s="445"/>
      <c r="AF8" s="505"/>
      <c r="AG8" s="537"/>
      <c r="AH8" s="537"/>
      <c r="AI8" s="537"/>
      <c r="AJ8" s="537"/>
    </row>
    <row r="9" spans="1:36" ht="61.5" thickTop="1" thickBot="1">
      <c r="A9" s="181">
        <v>7</v>
      </c>
      <c r="B9" s="142" t="s">
        <v>282</v>
      </c>
      <c r="C9" s="168" t="s">
        <v>100</v>
      </c>
      <c r="D9" s="193" t="s">
        <v>161</v>
      </c>
      <c r="E9" s="414">
        <v>2411011</v>
      </c>
      <c r="F9" s="116" t="s">
        <v>310</v>
      </c>
      <c r="G9" s="113" t="s">
        <v>311</v>
      </c>
      <c r="H9" s="189" t="s">
        <v>125</v>
      </c>
      <c r="I9" s="142">
        <v>1.3169999999999999</v>
      </c>
      <c r="J9" s="113" t="s">
        <v>312</v>
      </c>
      <c r="K9" s="354">
        <v>3400729.68</v>
      </c>
      <c r="L9" s="354">
        <v>1700364.84</v>
      </c>
      <c r="M9" s="354">
        <v>1700364.84</v>
      </c>
      <c r="N9" s="355">
        <f>L9/K9</f>
        <v>0.5</v>
      </c>
      <c r="O9" s="179">
        <v>150000</v>
      </c>
      <c r="P9" s="179">
        <v>1124143.3400000001</v>
      </c>
      <c r="Q9" s="179">
        <v>426221.5</v>
      </c>
      <c r="R9" s="179"/>
      <c r="S9" s="179"/>
      <c r="T9" s="179"/>
      <c r="U9" s="179"/>
      <c r="V9" s="179"/>
      <c r="W9" s="179"/>
      <c r="X9" s="179"/>
      <c r="Y9" s="410" t="b">
        <f t="shared" si="0"/>
        <v>1</v>
      </c>
      <c r="Z9" s="411">
        <f t="shared" si="1"/>
        <v>0.5</v>
      </c>
      <c r="AA9" s="412" t="b">
        <f t="shared" si="2"/>
        <v>1</v>
      </c>
      <c r="AB9" s="412" t="b">
        <f t="shared" si="3"/>
        <v>1</v>
      </c>
      <c r="AC9" s="505"/>
      <c r="AD9" s="505"/>
      <c r="AE9" s="445"/>
      <c r="AF9" s="505"/>
      <c r="AG9" s="537"/>
      <c r="AH9" s="537"/>
      <c r="AI9" s="537"/>
      <c r="AJ9" s="537"/>
    </row>
    <row r="10" spans="1:36" ht="31.5" thickTop="1" thickBot="1">
      <c r="A10" s="181">
        <v>8</v>
      </c>
      <c r="B10" s="142" t="s">
        <v>283</v>
      </c>
      <c r="C10" s="168" t="s">
        <v>100</v>
      </c>
      <c r="D10" s="193" t="s">
        <v>304</v>
      </c>
      <c r="E10" s="414">
        <v>2402082</v>
      </c>
      <c r="F10" s="116" t="s">
        <v>305</v>
      </c>
      <c r="G10" s="113" t="s">
        <v>313</v>
      </c>
      <c r="H10" s="178" t="s">
        <v>123</v>
      </c>
      <c r="I10" s="142">
        <v>0.94599999999999995</v>
      </c>
      <c r="J10" s="113" t="s">
        <v>303</v>
      </c>
      <c r="K10" s="354">
        <v>784092.93</v>
      </c>
      <c r="L10" s="354">
        <v>392046.46</v>
      </c>
      <c r="M10" s="354">
        <v>392046.47000000003</v>
      </c>
      <c r="N10" s="355">
        <v>0.5</v>
      </c>
      <c r="O10" s="179">
        <v>25000</v>
      </c>
      <c r="P10" s="179">
        <v>268922</v>
      </c>
      <c r="Q10" s="179">
        <v>98124.46</v>
      </c>
      <c r="R10" s="179"/>
      <c r="S10" s="179"/>
      <c r="T10" s="179"/>
      <c r="U10" s="179"/>
      <c r="V10" s="179"/>
      <c r="W10" s="179"/>
      <c r="X10" s="179"/>
      <c r="Y10" s="410" t="b">
        <f t="shared" si="0"/>
        <v>1</v>
      </c>
      <c r="Z10" s="411">
        <f t="shared" si="1"/>
        <v>0.5</v>
      </c>
      <c r="AA10" s="412" t="b">
        <f t="shared" si="2"/>
        <v>1</v>
      </c>
      <c r="AB10" s="412" t="b">
        <f t="shared" si="3"/>
        <v>1</v>
      </c>
      <c r="AC10" s="505"/>
      <c r="AD10" s="505"/>
      <c r="AE10" s="445"/>
      <c r="AF10" s="505"/>
      <c r="AG10" s="537"/>
      <c r="AH10" s="537"/>
      <c r="AI10" s="537"/>
      <c r="AJ10" s="537"/>
    </row>
    <row r="11" spans="1:36" ht="46.5" thickTop="1" thickBot="1">
      <c r="A11" s="181">
        <v>9</v>
      </c>
      <c r="B11" s="142" t="s">
        <v>284</v>
      </c>
      <c r="C11" s="168" t="s">
        <v>100</v>
      </c>
      <c r="D11" s="193" t="s">
        <v>103</v>
      </c>
      <c r="E11" s="414">
        <v>2464011</v>
      </c>
      <c r="F11" s="116" t="s">
        <v>314</v>
      </c>
      <c r="G11" s="113" t="s">
        <v>315</v>
      </c>
      <c r="H11" s="178" t="s">
        <v>121</v>
      </c>
      <c r="I11" s="142">
        <v>1.1060000000000001</v>
      </c>
      <c r="J11" s="113" t="s">
        <v>316</v>
      </c>
      <c r="K11" s="354">
        <v>4367854.75</v>
      </c>
      <c r="L11" s="354">
        <v>2183927</v>
      </c>
      <c r="M11" s="354">
        <v>2183927.75</v>
      </c>
      <c r="N11" s="355">
        <v>0.5</v>
      </c>
      <c r="O11" s="179">
        <v>1675000</v>
      </c>
      <c r="P11" s="179">
        <v>508927</v>
      </c>
      <c r="Q11" s="179"/>
      <c r="R11" s="179"/>
      <c r="S11" s="179"/>
      <c r="T11" s="179"/>
      <c r="U11" s="179"/>
      <c r="V11" s="179"/>
      <c r="W11" s="179"/>
      <c r="X11" s="179"/>
      <c r="Y11" s="410" t="b">
        <f t="shared" si="0"/>
        <v>1</v>
      </c>
      <c r="Z11" s="411">
        <f t="shared" si="1"/>
        <v>0.5</v>
      </c>
      <c r="AA11" s="412" t="b">
        <f t="shared" si="2"/>
        <v>1</v>
      </c>
      <c r="AB11" s="412" t="b">
        <f t="shared" si="3"/>
        <v>1</v>
      </c>
      <c r="AC11" s="505"/>
      <c r="AD11" s="505"/>
      <c r="AE11" s="445"/>
      <c r="AF11" s="505"/>
      <c r="AG11" s="537"/>
      <c r="AH11" s="537"/>
      <c r="AI11" s="537"/>
      <c r="AJ11" s="537"/>
    </row>
    <row r="12" spans="1:36" ht="46.5" thickTop="1" thickBot="1">
      <c r="A12" s="181">
        <v>10</v>
      </c>
      <c r="B12" s="142" t="s">
        <v>285</v>
      </c>
      <c r="C12" s="168" t="s">
        <v>100</v>
      </c>
      <c r="D12" s="193" t="s">
        <v>137</v>
      </c>
      <c r="E12" s="414">
        <v>2416021</v>
      </c>
      <c r="F12" s="113" t="s">
        <v>308</v>
      </c>
      <c r="G12" s="113" t="s">
        <v>317</v>
      </c>
      <c r="H12" s="178" t="s">
        <v>123</v>
      </c>
      <c r="I12" s="142">
        <v>0.51800000000000002</v>
      </c>
      <c r="J12" s="113" t="s">
        <v>122</v>
      </c>
      <c r="K12" s="354">
        <v>642387.26</v>
      </c>
      <c r="L12" s="354">
        <v>321193</v>
      </c>
      <c r="M12" s="354">
        <v>321194.26</v>
      </c>
      <c r="N12" s="355">
        <v>0.5</v>
      </c>
      <c r="O12" s="179">
        <v>83565</v>
      </c>
      <c r="P12" s="179">
        <v>237628</v>
      </c>
      <c r="Q12" s="179"/>
      <c r="R12" s="179"/>
      <c r="S12" s="179"/>
      <c r="T12" s="179"/>
      <c r="U12" s="179"/>
      <c r="V12" s="179"/>
      <c r="W12" s="179"/>
      <c r="X12" s="179"/>
      <c r="Y12" s="410" t="b">
        <f t="shared" si="0"/>
        <v>1</v>
      </c>
      <c r="Z12" s="411">
        <f t="shared" si="1"/>
        <v>0.5</v>
      </c>
      <c r="AA12" s="412" t="b">
        <f t="shared" si="2"/>
        <v>1</v>
      </c>
      <c r="AB12" s="412" t="b">
        <f t="shared" si="3"/>
        <v>1</v>
      </c>
      <c r="AC12" s="505"/>
      <c r="AD12" s="505"/>
      <c r="AE12" s="445"/>
      <c r="AF12" s="505"/>
      <c r="AG12" s="537"/>
      <c r="AH12" s="537"/>
      <c r="AI12" s="537"/>
      <c r="AJ12" s="537"/>
    </row>
    <row r="13" spans="1:36" ht="46.5" thickTop="1" thickBot="1">
      <c r="A13" s="181">
        <v>11</v>
      </c>
      <c r="B13" s="142" t="s">
        <v>286</v>
      </c>
      <c r="C13" s="168" t="s">
        <v>100</v>
      </c>
      <c r="D13" s="193" t="s">
        <v>318</v>
      </c>
      <c r="E13" s="414">
        <v>2409011</v>
      </c>
      <c r="F13" s="116" t="s">
        <v>319</v>
      </c>
      <c r="G13" s="113" t="s">
        <v>320</v>
      </c>
      <c r="H13" s="178" t="s">
        <v>121</v>
      </c>
      <c r="I13" s="142">
        <v>1.0980000000000001</v>
      </c>
      <c r="J13" s="113" t="s">
        <v>321</v>
      </c>
      <c r="K13" s="354">
        <v>4393871.72</v>
      </c>
      <c r="L13" s="354">
        <v>2636323.0299999998</v>
      </c>
      <c r="M13" s="354">
        <v>1757548.69</v>
      </c>
      <c r="N13" s="355">
        <v>0.6</v>
      </c>
      <c r="O13" s="179">
        <v>1993488.5999999999</v>
      </c>
      <c r="P13" s="179">
        <v>642834.43000000005</v>
      </c>
      <c r="Q13" s="179"/>
      <c r="R13" s="179"/>
      <c r="S13" s="179"/>
      <c r="T13" s="179"/>
      <c r="U13" s="179"/>
      <c r="V13" s="179"/>
      <c r="W13" s="179"/>
      <c r="X13" s="179"/>
      <c r="Y13" s="410" t="b">
        <f t="shared" si="0"/>
        <v>1</v>
      </c>
      <c r="Z13" s="411">
        <f t="shared" si="1"/>
        <v>0.6</v>
      </c>
      <c r="AA13" s="412" t="b">
        <f t="shared" si="2"/>
        <v>1</v>
      </c>
      <c r="AB13" s="412" t="b">
        <f t="shared" si="3"/>
        <v>1</v>
      </c>
      <c r="AC13" s="505"/>
      <c r="AD13" s="505"/>
      <c r="AE13" s="445"/>
      <c r="AF13" s="505"/>
      <c r="AG13" s="537"/>
      <c r="AH13" s="537"/>
      <c r="AI13" s="537"/>
      <c r="AJ13" s="537"/>
    </row>
    <row r="14" spans="1:36" ht="31.5" thickTop="1" thickBot="1">
      <c r="A14" s="181">
        <v>12</v>
      </c>
      <c r="B14" s="142" t="s">
        <v>287</v>
      </c>
      <c r="C14" s="168" t="s">
        <v>100</v>
      </c>
      <c r="D14" s="193" t="s">
        <v>153</v>
      </c>
      <c r="E14" s="414">
        <v>2415062</v>
      </c>
      <c r="F14" s="113" t="s">
        <v>298</v>
      </c>
      <c r="G14" s="113" t="s">
        <v>322</v>
      </c>
      <c r="H14" s="178" t="s">
        <v>123</v>
      </c>
      <c r="I14" s="142">
        <v>0.223</v>
      </c>
      <c r="J14" s="113" t="s">
        <v>323</v>
      </c>
      <c r="K14" s="354">
        <v>434571.06999999995</v>
      </c>
      <c r="L14" s="354">
        <v>239014.08</v>
      </c>
      <c r="M14" s="354">
        <v>195556.99</v>
      </c>
      <c r="N14" s="355">
        <v>0.55000000000000004</v>
      </c>
      <c r="O14" s="179">
        <v>88000</v>
      </c>
      <c r="P14" s="179">
        <v>151014.07999999999</v>
      </c>
      <c r="Q14" s="179"/>
      <c r="R14" s="179"/>
      <c r="S14" s="179"/>
      <c r="T14" s="179"/>
      <c r="U14" s="179"/>
      <c r="V14" s="179"/>
      <c r="W14" s="179"/>
      <c r="X14" s="179"/>
      <c r="Y14" s="410" t="b">
        <f t="shared" si="0"/>
        <v>1</v>
      </c>
      <c r="Z14" s="411">
        <f t="shared" si="1"/>
        <v>0.55000000000000004</v>
      </c>
      <c r="AA14" s="412" t="b">
        <f t="shared" si="2"/>
        <v>1</v>
      </c>
      <c r="AB14" s="412" t="b">
        <f t="shared" si="3"/>
        <v>1</v>
      </c>
      <c r="AC14" s="505"/>
      <c r="AD14" s="505"/>
      <c r="AE14" s="445"/>
      <c r="AF14" s="505"/>
      <c r="AG14" s="537"/>
      <c r="AH14" s="537"/>
      <c r="AI14" s="537"/>
      <c r="AJ14" s="537"/>
    </row>
    <row r="15" spans="1:36" ht="46.5" thickTop="1" thickBot="1">
      <c r="A15" s="181">
        <v>13</v>
      </c>
      <c r="B15" s="142" t="s">
        <v>288</v>
      </c>
      <c r="C15" s="168" t="s">
        <v>100</v>
      </c>
      <c r="D15" s="193" t="s">
        <v>324</v>
      </c>
      <c r="E15" s="414">
        <v>2412042</v>
      </c>
      <c r="F15" s="116" t="s">
        <v>325</v>
      </c>
      <c r="G15" s="113" t="s">
        <v>326</v>
      </c>
      <c r="H15" s="178" t="s">
        <v>123</v>
      </c>
      <c r="I15" s="142">
        <v>0.82</v>
      </c>
      <c r="J15" s="113" t="s">
        <v>327</v>
      </c>
      <c r="K15" s="354">
        <v>2170941.0700000003</v>
      </c>
      <c r="L15" s="354">
        <v>1194017</v>
      </c>
      <c r="M15" s="354">
        <v>976924.0700000003</v>
      </c>
      <c r="N15" s="355">
        <v>0.55000000000000004</v>
      </c>
      <c r="O15" s="179">
        <v>11000</v>
      </c>
      <c r="P15" s="179">
        <v>550000</v>
      </c>
      <c r="Q15" s="179">
        <v>633017</v>
      </c>
      <c r="R15" s="179"/>
      <c r="S15" s="179"/>
      <c r="T15" s="179"/>
      <c r="U15" s="179"/>
      <c r="V15" s="179"/>
      <c r="W15" s="179"/>
      <c r="X15" s="179"/>
      <c r="Y15" s="410" t="b">
        <f t="shared" si="0"/>
        <v>1</v>
      </c>
      <c r="Z15" s="411">
        <f t="shared" si="1"/>
        <v>0.55000000000000004</v>
      </c>
      <c r="AA15" s="412" t="b">
        <f t="shared" si="2"/>
        <v>1</v>
      </c>
      <c r="AB15" s="412" t="b">
        <f t="shared" si="3"/>
        <v>1</v>
      </c>
      <c r="AC15" s="505"/>
      <c r="AD15" s="505"/>
      <c r="AE15" s="445"/>
      <c r="AF15" s="505"/>
      <c r="AG15" s="537"/>
      <c r="AH15" s="537"/>
      <c r="AI15" s="537"/>
      <c r="AJ15" s="537"/>
    </row>
    <row r="16" spans="1:36" ht="31.5" thickTop="1" thickBot="1">
      <c r="A16" s="181">
        <v>14</v>
      </c>
      <c r="B16" s="142" t="s">
        <v>289</v>
      </c>
      <c r="C16" s="168" t="s">
        <v>100</v>
      </c>
      <c r="D16" s="193" t="s">
        <v>328</v>
      </c>
      <c r="E16" s="414">
        <v>2413021</v>
      </c>
      <c r="F16" s="116" t="s">
        <v>329</v>
      </c>
      <c r="G16" s="113" t="s">
        <v>330</v>
      </c>
      <c r="H16" s="178" t="s">
        <v>121</v>
      </c>
      <c r="I16" s="142">
        <v>0.627</v>
      </c>
      <c r="J16" s="113" t="s">
        <v>293</v>
      </c>
      <c r="K16" s="354">
        <v>1660061.72</v>
      </c>
      <c r="L16" s="354">
        <v>830030.86</v>
      </c>
      <c r="M16" s="354">
        <v>830030.86</v>
      </c>
      <c r="N16" s="355">
        <v>0.5</v>
      </c>
      <c r="O16" s="179">
        <v>1500</v>
      </c>
      <c r="P16" s="179">
        <v>292049.11</v>
      </c>
      <c r="Q16" s="179">
        <v>536481.75</v>
      </c>
      <c r="R16" s="179"/>
      <c r="S16" s="179"/>
      <c r="T16" s="179"/>
      <c r="U16" s="179"/>
      <c r="V16" s="179"/>
      <c r="W16" s="179"/>
      <c r="X16" s="179"/>
      <c r="Y16" s="410" t="b">
        <f t="shared" si="0"/>
        <v>1</v>
      </c>
      <c r="Z16" s="411">
        <f t="shared" si="1"/>
        <v>0.5</v>
      </c>
      <c r="AA16" s="412" t="b">
        <f t="shared" si="2"/>
        <v>1</v>
      </c>
      <c r="AB16" s="412" t="b">
        <f t="shared" si="3"/>
        <v>1</v>
      </c>
      <c r="AC16" s="505"/>
      <c r="AD16" s="505"/>
      <c r="AE16" s="445"/>
      <c r="AF16" s="505"/>
      <c r="AG16" s="537"/>
      <c r="AH16" s="537"/>
      <c r="AI16" s="537"/>
      <c r="AJ16" s="537"/>
    </row>
    <row r="17" spans="1:36" ht="30" customHeight="1" thickTop="1" thickBot="1">
      <c r="A17" s="181">
        <v>15</v>
      </c>
      <c r="B17" s="142" t="s">
        <v>273</v>
      </c>
      <c r="C17" s="168" t="s">
        <v>100</v>
      </c>
      <c r="D17" s="193" t="s">
        <v>331</v>
      </c>
      <c r="E17" s="414">
        <v>2401073</v>
      </c>
      <c r="F17" s="116" t="s">
        <v>332</v>
      </c>
      <c r="G17" s="113" t="s">
        <v>333</v>
      </c>
      <c r="H17" s="189" t="s">
        <v>121</v>
      </c>
      <c r="I17" s="142">
        <v>0.17899999999999999</v>
      </c>
      <c r="J17" s="113" t="s">
        <v>128</v>
      </c>
      <c r="K17" s="354">
        <v>978231.23</v>
      </c>
      <c r="L17" s="354">
        <v>393971</v>
      </c>
      <c r="M17" s="354">
        <v>584260.23</v>
      </c>
      <c r="N17" s="355">
        <v>0.4</v>
      </c>
      <c r="O17" s="179">
        <v>25000</v>
      </c>
      <c r="P17" s="179">
        <v>368971</v>
      </c>
      <c r="Q17" s="179"/>
      <c r="R17" s="179"/>
      <c r="S17" s="179"/>
      <c r="T17" s="179"/>
      <c r="U17" s="179"/>
      <c r="V17" s="179"/>
      <c r="W17" s="179"/>
      <c r="X17" s="179"/>
      <c r="Y17" s="410" t="b">
        <f t="shared" si="0"/>
        <v>1</v>
      </c>
      <c r="Z17" s="411">
        <f t="shared" si="1"/>
        <v>0.4027</v>
      </c>
      <c r="AA17" s="412" t="b">
        <f t="shared" si="2"/>
        <v>0</v>
      </c>
      <c r="AB17" s="412" t="b">
        <f t="shared" si="3"/>
        <v>1</v>
      </c>
      <c r="AC17" s="505"/>
      <c r="AD17" s="505"/>
      <c r="AE17" s="445"/>
      <c r="AF17" s="505"/>
      <c r="AG17" s="537"/>
      <c r="AH17" s="537"/>
      <c r="AI17" s="537"/>
      <c r="AJ17" s="537"/>
    </row>
    <row r="18" spans="1:36" ht="54" customHeight="1" thickTop="1" thickBot="1">
      <c r="A18" s="181">
        <v>16</v>
      </c>
      <c r="B18" s="142" t="s">
        <v>274</v>
      </c>
      <c r="C18" s="168" t="s">
        <v>100</v>
      </c>
      <c r="D18" s="193" t="s">
        <v>334</v>
      </c>
      <c r="E18" s="415">
        <v>2466011</v>
      </c>
      <c r="F18" s="116" t="s">
        <v>335</v>
      </c>
      <c r="G18" s="113" t="s">
        <v>336</v>
      </c>
      <c r="H18" s="178" t="s">
        <v>121</v>
      </c>
      <c r="I18" s="142">
        <v>0.46</v>
      </c>
      <c r="J18" s="113" t="s">
        <v>122</v>
      </c>
      <c r="K18" s="354">
        <v>3993419.3899999997</v>
      </c>
      <c r="L18" s="354">
        <v>1996709.69</v>
      </c>
      <c r="M18" s="354">
        <v>1996709.7</v>
      </c>
      <c r="N18" s="355">
        <f>L18/K18</f>
        <v>0.49999999874794021</v>
      </c>
      <c r="O18" s="179">
        <v>500000</v>
      </c>
      <c r="P18" s="179">
        <v>1496709.69</v>
      </c>
      <c r="Q18" s="179"/>
      <c r="R18" s="179"/>
      <c r="S18" s="179"/>
      <c r="T18" s="179"/>
      <c r="U18" s="179"/>
      <c r="V18" s="179"/>
      <c r="W18" s="179"/>
      <c r="X18" s="179"/>
      <c r="Y18" s="410" t="b">
        <f t="shared" si="0"/>
        <v>1</v>
      </c>
      <c r="Z18" s="411">
        <f t="shared" si="1"/>
        <v>0.5</v>
      </c>
      <c r="AA18" s="412" t="b">
        <f t="shared" si="2"/>
        <v>0</v>
      </c>
      <c r="AB18" s="412" t="b">
        <f t="shared" si="3"/>
        <v>1</v>
      </c>
      <c r="AC18" s="505"/>
      <c r="AD18" s="505"/>
      <c r="AE18" s="445"/>
      <c r="AF18" s="505"/>
      <c r="AG18" s="537"/>
      <c r="AH18" s="537"/>
      <c r="AI18" s="537"/>
      <c r="AJ18" s="537"/>
    </row>
    <row r="19" spans="1:36" ht="31.5" thickTop="1" thickBot="1">
      <c r="A19" s="181">
        <v>17</v>
      </c>
      <c r="B19" s="142" t="s">
        <v>275</v>
      </c>
      <c r="C19" s="168" t="s">
        <v>100</v>
      </c>
      <c r="D19" s="193" t="s">
        <v>337</v>
      </c>
      <c r="E19" s="414">
        <v>2402043</v>
      </c>
      <c r="F19" s="116" t="s">
        <v>305</v>
      </c>
      <c r="G19" s="113" t="s">
        <v>338</v>
      </c>
      <c r="H19" s="178" t="s">
        <v>123</v>
      </c>
      <c r="I19" s="142">
        <v>0.54</v>
      </c>
      <c r="J19" s="190" t="s">
        <v>339</v>
      </c>
      <c r="K19" s="356">
        <v>3219620.4</v>
      </c>
      <c r="L19" s="354">
        <v>2527804</v>
      </c>
      <c r="M19" s="356">
        <v>691816.4</v>
      </c>
      <c r="N19" s="355">
        <v>0.78512485509161267</v>
      </c>
      <c r="O19" s="179">
        <v>531497.6</v>
      </c>
      <c r="P19" s="179">
        <v>1996306.4000000001</v>
      </c>
      <c r="Q19" s="357"/>
      <c r="R19" s="179"/>
      <c r="S19" s="179"/>
      <c r="T19" s="179"/>
      <c r="U19" s="179"/>
      <c r="V19" s="179"/>
      <c r="W19" s="179"/>
      <c r="X19" s="179"/>
      <c r="Y19" s="410" t="b">
        <f t="shared" si="0"/>
        <v>1</v>
      </c>
      <c r="Z19" s="411">
        <f t="shared" si="1"/>
        <v>0.78510000000000002</v>
      </c>
      <c r="AA19" s="412" t="b">
        <f t="shared" si="2"/>
        <v>0</v>
      </c>
      <c r="AB19" s="412" t="b">
        <f t="shared" si="3"/>
        <v>1</v>
      </c>
      <c r="AC19" s="505"/>
      <c r="AD19" s="505"/>
      <c r="AE19" s="445"/>
      <c r="AF19" s="505"/>
      <c r="AG19" s="537"/>
      <c r="AH19" s="537"/>
      <c r="AI19" s="537"/>
      <c r="AJ19" s="537"/>
    </row>
    <row r="20" spans="1:36" ht="30.4" customHeight="1" thickTop="1" thickBot="1">
      <c r="A20" s="182">
        <v>18</v>
      </c>
      <c r="B20" s="416" t="s">
        <v>176</v>
      </c>
      <c r="C20" s="173" t="s">
        <v>67</v>
      </c>
      <c r="D20" s="368" t="s">
        <v>137</v>
      </c>
      <c r="E20" s="417">
        <v>2416021</v>
      </c>
      <c r="F20" s="183" t="s">
        <v>308</v>
      </c>
      <c r="G20" s="418" t="s">
        <v>225</v>
      </c>
      <c r="H20" s="172" t="s">
        <v>121</v>
      </c>
      <c r="I20" s="174">
        <v>0.16400000000000001</v>
      </c>
      <c r="J20" s="194" t="s">
        <v>402</v>
      </c>
      <c r="K20" s="482">
        <v>2167492.98</v>
      </c>
      <c r="L20" s="482">
        <v>1083746.49</v>
      </c>
      <c r="M20" s="482">
        <v>1083746.49</v>
      </c>
      <c r="N20" s="419">
        <v>0.5</v>
      </c>
      <c r="O20" s="175">
        <v>0</v>
      </c>
      <c r="P20" s="175">
        <v>1083746.49</v>
      </c>
      <c r="Q20" s="201"/>
      <c r="R20" s="201"/>
      <c r="S20" s="201"/>
      <c r="T20" s="201"/>
      <c r="U20" s="201"/>
      <c r="V20" s="201"/>
      <c r="W20" s="179"/>
      <c r="X20" s="201"/>
      <c r="Y20" s="410" t="b">
        <f t="shared" ref="Y20" si="4">L20=SUM(O20:X20)</f>
        <v>1</v>
      </c>
      <c r="Z20" s="411">
        <f t="shared" ref="Z20" si="5">ROUND(L20/K20,4)</f>
        <v>0.5</v>
      </c>
      <c r="AA20" s="412" t="b">
        <f t="shared" ref="AA20" si="6">Z20=N20</f>
        <v>1</v>
      </c>
      <c r="AB20" s="412" t="b">
        <f t="shared" ref="AB20" si="7">K20=L20+M20</f>
        <v>1</v>
      </c>
      <c r="AC20" s="505"/>
      <c r="AD20" s="505"/>
      <c r="AE20" s="445"/>
      <c r="AF20" s="505"/>
      <c r="AG20" s="537"/>
      <c r="AH20" s="537"/>
      <c r="AI20" s="537"/>
      <c r="AJ20" s="537"/>
    </row>
    <row r="21" spans="1:36" ht="31.5" thickTop="1" thickBot="1">
      <c r="A21" s="182">
        <v>19</v>
      </c>
      <c r="B21" s="416" t="s">
        <v>177</v>
      </c>
      <c r="C21" s="173" t="s">
        <v>67</v>
      </c>
      <c r="D21" s="368" t="s">
        <v>138</v>
      </c>
      <c r="E21" s="524">
        <v>2474011</v>
      </c>
      <c r="F21" s="183" t="s">
        <v>403</v>
      </c>
      <c r="G21" s="418" t="s">
        <v>226</v>
      </c>
      <c r="H21" s="172" t="s">
        <v>121</v>
      </c>
      <c r="I21" s="174">
        <v>0.40400000000000003</v>
      </c>
      <c r="J21" s="194" t="s">
        <v>822</v>
      </c>
      <c r="K21" s="201">
        <v>2589354.86</v>
      </c>
      <c r="L21" s="175">
        <v>1942016.14</v>
      </c>
      <c r="M21" s="176">
        <v>647338.72</v>
      </c>
      <c r="N21" s="419">
        <f>L21/K21</f>
        <v>0.74999999806901707</v>
      </c>
      <c r="O21" s="175">
        <v>0</v>
      </c>
      <c r="P21" s="175">
        <f>L21</f>
        <v>1942016.14</v>
      </c>
      <c r="Q21" s="201"/>
      <c r="R21" s="201"/>
      <c r="S21" s="201"/>
      <c r="T21" s="201"/>
      <c r="U21" s="201"/>
      <c r="V21" s="201"/>
      <c r="W21" s="179"/>
      <c r="X21" s="201"/>
      <c r="Y21" s="410" t="b">
        <f t="shared" ref="Y21:Y67" si="8">L21=SUM(O21:X21)</f>
        <v>1</v>
      </c>
      <c r="Z21" s="411">
        <f t="shared" ref="Z21:Z67" si="9">ROUND(L21/K21,4)</f>
        <v>0.75</v>
      </c>
      <c r="AA21" s="412" t="b">
        <f t="shared" ref="AA21:AA67" si="10">Z21=N21</f>
        <v>0</v>
      </c>
      <c r="AB21" s="412" t="b">
        <f t="shared" ref="AB21:AB67" si="11">K21=L21+M21</f>
        <v>1</v>
      </c>
      <c r="AC21" s="505"/>
      <c r="AD21" s="505"/>
      <c r="AE21" s="445"/>
      <c r="AF21" s="505"/>
      <c r="AG21" s="537"/>
      <c r="AH21" s="537"/>
      <c r="AI21" s="537"/>
      <c r="AJ21" s="537"/>
    </row>
    <row r="22" spans="1:36" ht="31.5" thickTop="1" thickBot="1">
      <c r="A22" s="182">
        <v>20</v>
      </c>
      <c r="B22" s="416" t="s">
        <v>178</v>
      </c>
      <c r="C22" s="173" t="s">
        <v>67</v>
      </c>
      <c r="D22" s="368" t="s">
        <v>139</v>
      </c>
      <c r="E22" s="417">
        <v>2417152</v>
      </c>
      <c r="F22" s="183" t="s">
        <v>404</v>
      </c>
      <c r="G22" s="418" t="s">
        <v>227</v>
      </c>
      <c r="H22" s="172" t="s">
        <v>123</v>
      </c>
      <c r="I22" s="174">
        <v>1.2889999999999999</v>
      </c>
      <c r="J22" s="194" t="s">
        <v>823</v>
      </c>
      <c r="K22" s="201">
        <v>1277184.77</v>
      </c>
      <c r="L22" s="175">
        <v>766310.86</v>
      </c>
      <c r="M22" s="176">
        <v>510873.91000000003</v>
      </c>
      <c r="N22" s="419">
        <v>0.6</v>
      </c>
      <c r="O22" s="175">
        <v>0</v>
      </c>
      <c r="P22" s="175">
        <v>766310.86</v>
      </c>
      <c r="Q22" s="201"/>
      <c r="R22" s="201"/>
      <c r="S22" s="201"/>
      <c r="T22" s="201"/>
      <c r="U22" s="201"/>
      <c r="V22" s="201"/>
      <c r="W22" s="179"/>
      <c r="X22" s="201"/>
      <c r="Y22" s="410" t="b">
        <f t="shared" si="8"/>
        <v>1</v>
      </c>
      <c r="Z22" s="411">
        <f t="shared" si="9"/>
        <v>0.6</v>
      </c>
      <c r="AA22" s="412" t="b">
        <f t="shared" si="10"/>
        <v>1</v>
      </c>
      <c r="AB22" s="412" t="b">
        <f t="shared" si="11"/>
        <v>1</v>
      </c>
      <c r="AC22" s="505"/>
      <c r="AD22" s="505"/>
      <c r="AE22" s="445"/>
      <c r="AF22" s="505"/>
      <c r="AG22" s="537"/>
      <c r="AH22" s="537"/>
      <c r="AI22" s="537"/>
      <c r="AJ22" s="537"/>
    </row>
    <row r="23" spans="1:36" s="422" customFormat="1" ht="31.5" thickTop="1" thickBot="1">
      <c r="A23" s="181">
        <v>21</v>
      </c>
      <c r="B23" s="420" t="s">
        <v>179</v>
      </c>
      <c r="C23" s="168" t="s">
        <v>66</v>
      </c>
      <c r="D23" s="365" t="s">
        <v>140</v>
      </c>
      <c r="E23" s="415">
        <v>2413041</v>
      </c>
      <c r="F23" s="184" t="s">
        <v>329</v>
      </c>
      <c r="G23" s="421" t="s">
        <v>228</v>
      </c>
      <c r="H23" s="167" t="s">
        <v>121</v>
      </c>
      <c r="I23" s="169">
        <v>0.61399999999999999</v>
      </c>
      <c r="J23" s="195" t="s">
        <v>838</v>
      </c>
      <c r="K23" s="179">
        <v>4775987.6400000006</v>
      </c>
      <c r="L23" s="170">
        <v>2387993.8200000003</v>
      </c>
      <c r="M23" s="171">
        <v>2387993.8200000003</v>
      </c>
      <c r="N23" s="355">
        <v>0.5</v>
      </c>
      <c r="O23" s="170">
        <v>0</v>
      </c>
      <c r="P23" s="170">
        <v>220090.87</v>
      </c>
      <c r="Q23" s="179">
        <v>2167902.9500000002</v>
      </c>
      <c r="R23" s="179"/>
      <c r="S23" s="179"/>
      <c r="T23" s="179"/>
      <c r="U23" s="179"/>
      <c r="V23" s="179"/>
      <c r="W23" s="179"/>
      <c r="X23" s="179"/>
      <c r="Y23" s="410" t="b">
        <f t="shared" si="8"/>
        <v>1</v>
      </c>
      <c r="Z23" s="411">
        <f t="shared" si="9"/>
        <v>0.5</v>
      </c>
      <c r="AA23" s="412" t="b">
        <f t="shared" si="10"/>
        <v>1</v>
      </c>
      <c r="AB23" s="412" t="b">
        <f t="shared" si="11"/>
        <v>1</v>
      </c>
      <c r="AC23" s="505"/>
      <c r="AD23" s="505"/>
      <c r="AE23" s="506"/>
      <c r="AF23" s="505"/>
      <c r="AG23" s="537"/>
      <c r="AH23" s="537"/>
      <c r="AI23" s="537"/>
      <c r="AJ23" s="537"/>
    </row>
    <row r="24" spans="1:36" s="422" customFormat="1" ht="31.5" thickTop="1" thickBot="1">
      <c r="A24" s="181">
        <v>22</v>
      </c>
      <c r="B24" s="420" t="s">
        <v>180</v>
      </c>
      <c r="C24" s="168" t="s">
        <v>66</v>
      </c>
      <c r="D24" s="365" t="s">
        <v>141</v>
      </c>
      <c r="E24" s="415">
        <v>2415011</v>
      </c>
      <c r="F24" s="184" t="s">
        <v>298</v>
      </c>
      <c r="G24" s="421" t="s">
        <v>229</v>
      </c>
      <c r="H24" s="167" t="s">
        <v>397</v>
      </c>
      <c r="I24" s="169">
        <v>1.3320000000000001</v>
      </c>
      <c r="J24" s="195" t="s">
        <v>418</v>
      </c>
      <c r="K24" s="179">
        <v>1312088.74</v>
      </c>
      <c r="L24" s="170">
        <v>852857.68</v>
      </c>
      <c r="M24" s="171">
        <v>459231.06</v>
      </c>
      <c r="N24" s="355">
        <f>L24/K24</f>
        <v>0.64999999923785645</v>
      </c>
      <c r="O24" s="170">
        <v>0</v>
      </c>
      <c r="P24" s="170">
        <v>297556.31</v>
      </c>
      <c r="Q24" s="170">
        <v>278915.17</v>
      </c>
      <c r="R24" s="170">
        <v>276386.2</v>
      </c>
      <c r="S24" s="179"/>
      <c r="T24" s="179"/>
      <c r="U24" s="179"/>
      <c r="V24" s="179"/>
      <c r="W24" s="179"/>
      <c r="X24" s="179"/>
      <c r="Y24" s="410" t="b">
        <f t="shared" si="8"/>
        <v>1</v>
      </c>
      <c r="Z24" s="411">
        <f t="shared" si="9"/>
        <v>0.65</v>
      </c>
      <c r="AA24" s="412" t="b">
        <f t="shared" si="10"/>
        <v>0</v>
      </c>
      <c r="AB24" s="412" t="b">
        <f t="shared" si="11"/>
        <v>1</v>
      </c>
      <c r="AC24" s="505"/>
      <c r="AD24" s="505"/>
      <c r="AE24" s="506"/>
      <c r="AF24" s="505"/>
      <c r="AG24" s="537"/>
      <c r="AH24" s="537"/>
      <c r="AI24" s="537"/>
      <c r="AJ24" s="537"/>
    </row>
    <row r="25" spans="1:36" ht="31.5" thickTop="1" thickBot="1">
      <c r="A25" s="182">
        <v>23</v>
      </c>
      <c r="B25" s="416" t="s">
        <v>182</v>
      </c>
      <c r="C25" s="173" t="s">
        <v>67</v>
      </c>
      <c r="D25" s="368" t="s">
        <v>143</v>
      </c>
      <c r="E25" s="417">
        <v>2406062</v>
      </c>
      <c r="F25" s="183" t="s">
        <v>294</v>
      </c>
      <c r="G25" s="418" t="s">
        <v>864</v>
      </c>
      <c r="H25" s="172" t="s">
        <v>121</v>
      </c>
      <c r="I25" s="174">
        <v>0.41</v>
      </c>
      <c r="J25" s="194" t="s">
        <v>400</v>
      </c>
      <c r="K25" s="201">
        <v>594000</v>
      </c>
      <c r="L25" s="175">
        <v>297000</v>
      </c>
      <c r="M25" s="176">
        <v>297000</v>
      </c>
      <c r="N25" s="419">
        <v>0.5</v>
      </c>
      <c r="O25" s="175">
        <v>0</v>
      </c>
      <c r="P25" s="175">
        <v>297000</v>
      </c>
      <c r="Q25" s="201"/>
      <c r="R25" s="201"/>
      <c r="S25" s="201"/>
      <c r="T25" s="201"/>
      <c r="U25" s="201"/>
      <c r="V25" s="201"/>
      <c r="W25" s="179"/>
      <c r="X25" s="201"/>
      <c r="Y25" s="410" t="b">
        <f t="shared" si="8"/>
        <v>1</v>
      </c>
      <c r="Z25" s="411">
        <f t="shared" si="9"/>
        <v>0.5</v>
      </c>
      <c r="AA25" s="412" t="b">
        <f t="shared" si="10"/>
        <v>1</v>
      </c>
      <c r="AB25" s="412" t="b">
        <f t="shared" si="11"/>
        <v>1</v>
      </c>
      <c r="AC25" s="505"/>
      <c r="AD25" s="505"/>
      <c r="AE25" s="445"/>
      <c r="AF25" s="505"/>
      <c r="AG25" s="537"/>
      <c r="AH25" s="537"/>
      <c r="AI25" s="537"/>
      <c r="AJ25" s="537"/>
    </row>
    <row r="26" spans="1:36" ht="31.5" thickTop="1" thickBot="1">
      <c r="A26" s="182">
        <v>24</v>
      </c>
      <c r="B26" s="416" t="s">
        <v>183</v>
      </c>
      <c r="C26" s="173" t="s">
        <v>67</v>
      </c>
      <c r="D26" s="368" t="s">
        <v>144</v>
      </c>
      <c r="E26" s="417">
        <v>2406023</v>
      </c>
      <c r="F26" s="183" t="s">
        <v>294</v>
      </c>
      <c r="G26" s="418" t="s">
        <v>231</v>
      </c>
      <c r="H26" s="172" t="s">
        <v>121</v>
      </c>
      <c r="I26" s="174">
        <v>0.33</v>
      </c>
      <c r="J26" s="194" t="s">
        <v>420</v>
      </c>
      <c r="K26" s="201">
        <v>452812.82999999996</v>
      </c>
      <c r="L26" s="175">
        <v>316968.98</v>
      </c>
      <c r="M26" s="176">
        <v>135843.85</v>
      </c>
      <c r="N26" s="419">
        <f>L26/K26</f>
        <v>0.69999999779158206</v>
      </c>
      <c r="O26" s="175">
        <v>0</v>
      </c>
      <c r="P26" s="175">
        <v>316968.98</v>
      </c>
      <c r="Q26" s="201"/>
      <c r="R26" s="201"/>
      <c r="S26" s="201"/>
      <c r="T26" s="201"/>
      <c r="U26" s="201"/>
      <c r="V26" s="201"/>
      <c r="W26" s="179"/>
      <c r="X26" s="201"/>
      <c r="Y26" s="410" t="b">
        <f t="shared" si="8"/>
        <v>1</v>
      </c>
      <c r="Z26" s="411">
        <f t="shared" si="9"/>
        <v>0.7</v>
      </c>
      <c r="AA26" s="412" t="b">
        <f t="shared" si="10"/>
        <v>0</v>
      </c>
      <c r="AB26" s="412" t="b">
        <f t="shared" si="11"/>
        <v>1</v>
      </c>
      <c r="AC26" s="505"/>
      <c r="AD26" s="505"/>
      <c r="AE26" s="445"/>
      <c r="AF26" s="505"/>
      <c r="AG26" s="537"/>
      <c r="AH26" s="537"/>
      <c r="AI26" s="537"/>
      <c r="AJ26" s="537"/>
    </row>
    <row r="27" spans="1:36" ht="31.5" thickTop="1" thickBot="1">
      <c r="A27" s="182">
        <v>25</v>
      </c>
      <c r="B27" s="416" t="s">
        <v>184</v>
      </c>
      <c r="C27" s="173" t="s">
        <v>67</v>
      </c>
      <c r="D27" s="368" t="s">
        <v>145</v>
      </c>
      <c r="E27" s="417">
        <v>2406082</v>
      </c>
      <c r="F27" s="183" t="s">
        <v>294</v>
      </c>
      <c r="G27" s="418" t="s">
        <v>232</v>
      </c>
      <c r="H27" s="172" t="s">
        <v>123</v>
      </c>
      <c r="I27" s="174">
        <v>1.1819999999999999</v>
      </c>
      <c r="J27" s="194" t="s">
        <v>827</v>
      </c>
      <c r="K27" s="201">
        <f>L27+M27</f>
        <v>1370521.52</v>
      </c>
      <c r="L27" s="175">
        <v>685260</v>
      </c>
      <c r="M27" s="176">
        <v>685261.52</v>
      </c>
      <c r="N27" s="419">
        <v>0.5</v>
      </c>
      <c r="O27" s="175">
        <v>0</v>
      </c>
      <c r="P27" s="175">
        <v>685260</v>
      </c>
      <c r="Q27" s="201"/>
      <c r="R27" s="201"/>
      <c r="S27" s="201"/>
      <c r="T27" s="201"/>
      <c r="U27" s="201"/>
      <c r="V27" s="201"/>
      <c r="W27" s="179"/>
      <c r="X27" s="201"/>
      <c r="Y27" s="410" t="b">
        <f t="shared" si="8"/>
        <v>1</v>
      </c>
      <c r="Z27" s="411">
        <f t="shared" si="9"/>
        <v>0.5</v>
      </c>
      <c r="AA27" s="412" t="b">
        <f t="shared" si="10"/>
        <v>1</v>
      </c>
      <c r="AB27" s="412" t="b">
        <f t="shared" si="11"/>
        <v>1</v>
      </c>
      <c r="AC27" s="505"/>
      <c r="AD27" s="505"/>
      <c r="AE27" s="445"/>
      <c r="AF27" s="505"/>
      <c r="AG27" s="537"/>
      <c r="AH27" s="537"/>
      <c r="AI27" s="537"/>
      <c r="AJ27" s="537"/>
    </row>
    <row r="28" spans="1:36" ht="31.5" thickTop="1" thickBot="1">
      <c r="A28" s="182">
        <v>26</v>
      </c>
      <c r="B28" s="416" t="s">
        <v>185</v>
      </c>
      <c r="C28" s="173" t="s">
        <v>67</v>
      </c>
      <c r="D28" s="368" t="s">
        <v>146</v>
      </c>
      <c r="E28" s="417">
        <v>2417082</v>
      </c>
      <c r="F28" s="183" t="s">
        <v>404</v>
      </c>
      <c r="G28" s="418" t="s">
        <v>233</v>
      </c>
      <c r="H28" s="172" t="s">
        <v>397</v>
      </c>
      <c r="I28" s="174">
        <v>1.19</v>
      </c>
      <c r="J28" s="194" t="s">
        <v>421</v>
      </c>
      <c r="K28" s="201">
        <v>676053.88</v>
      </c>
      <c r="L28" s="175">
        <v>405632.32</v>
      </c>
      <c r="M28" s="176">
        <v>270421.56</v>
      </c>
      <c r="N28" s="419">
        <v>0.6</v>
      </c>
      <c r="O28" s="175">
        <v>0</v>
      </c>
      <c r="P28" s="175">
        <v>405632.32</v>
      </c>
      <c r="Q28" s="201"/>
      <c r="R28" s="201"/>
      <c r="S28" s="201"/>
      <c r="T28" s="201"/>
      <c r="U28" s="201"/>
      <c r="V28" s="201"/>
      <c r="W28" s="179"/>
      <c r="X28" s="201"/>
      <c r="Y28" s="410" t="b">
        <f t="shared" si="8"/>
        <v>1</v>
      </c>
      <c r="Z28" s="411">
        <f t="shared" si="9"/>
        <v>0.6</v>
      </c>
      <c r="AA28" s="412" t="b">
        <f t="shared" si="10"/>
        <v>1</v>
      </c>
      <c r="AB28" s="412" t="b">
        <f t="shared" si="11"/>
        <v>1</v>
      </c>
      <c r="AC28" s="505"/>
      <c r="AD28" s="505"/>
      <c r="AE28" s="445"/>
      <c r="AF28" s="505"/>
      <c r="AG28" s="537"/>
      <c r="AH28" s="537"/>
      <c r="AI28" s="537"/>
      <c r="AJ28" s="537"/>
    </row>
    <row r="29" spans="1:36" ht="31.5" thickTop="1" thickBot="1">
      <c r="A29" s="182">
        <v>27</v>
      </c>
      <c r="B29" s="416" t="s">
        <v>186</v>
      </c>
      <c r="C29" s="173" t="s">
        <v>67</v>
      </c>
      <c r="D29" s="368" t="s">
        <v>147</v>
      </c>
      <c r="E29" s="524">
        <v>2462011</v>
      </c>
      <c r="F29" s="183" t="s">
        <v>406</v>
      </c>
      <c r="G29" s="418" t="s">
        <v>234</v>
      </c>
      <c r="H29" s="172" t="s">
        <v>123</v>
      </c>
      <c r="I29" s="174">
        <v>0.7</v>
      </c>
      <c r="J29" s="194" t="s">
        <v>429</v>
      </c>
      <c r="K29" s="201">
        <f>L29+M29</f>
        <v>1029507.33</v>
      </c>
      <c r="L29" s="175">
        <v>772130</v>
      </c>
      <c r="M29" s="176">
        <v>257377.33</v>
      </c>
      <c r="N29" s="419">
        <f>L29/K29</f>
        <v>0.74999951675914733</v>
      </c>
      <c r="O29" s="175"/>
      <c r="P29" s="175">
        <f>L29</f>
        <v>772130</v>
      </c>
      <c r="Q29" s="201"/>
      <c r="R29" s="201"/>
      <c r="S29" s="201"/>
      <c r="T29" s="201"/>
      <c r="U29" s="201"/>
      <c r="V29" s="201"/>
      <c r="W29" s="179"/>
      <c r="X29" s="201"/>
      <c r="Y29" s="410" t="b">
        <f t="shared" si="8"/>
        <v>1</v>
      </c>
      <c r="Z29" s="411">
        <f t="shared" si="9"/>
        <v>0.75</v>
      </c>
      <c r="AA29" s="412" t="b">
        <f t="shared" si="10"/>
        <v>0</v>
      </c>
      <c r="AB29" s="412" t="b">
        <f t="shared" si="11"/>
        <v>1</v>
      </c>
      <c r="AC29" s="505"/>
      <c r="AD29" s="505"/>
      <c r="AE29" s="445"/>
      <c r="AF29" s="505"/>
      <c r="AG29" s="537"/>
      <c r="AH29" s="537"/>
      <c r="AI29" s="537"/>
      <c r="AJ29" s="537"/>
    </row>
    <row r="30" spans="1:36" ht="31.5" thickTop="1" thickBot="1">
      <c r="A30" s="182">
        <v>28</v>
      </c>
      <c r="B30" s="416" t="s">
        <v>187</v>
      </c>
      <c r="C30" s="173" t="s">
        <v>67</v>
      </c>
      <c r="D30" s="368" t="s">
        <v>148</v>
      </c>
      <c r="E30" s="417">
        <v>2403103</v>
      </c>
      <c r="F30" s="183" t="s">
        <v>405</v>
      </c>
      <c r="G30" s="418" t="s">
        <v>235</v>
      </c>
      <c r="H30" s="172" t="s">
        <v>397</v>
      </c>
      <c r="I30" s="174">
        <v>0.52100000000000002</v>
      </c>
      <c r="J30" s="194" t="s">
        <v>394</v>
      </c>
      <c r="K30" s="201">
        <f>SUM(L30:M30)</f>
        <v>1053961.3600000001</v>
      </c>
      <c r="L30" s="175">
        <v>790471.02</v>
      </c>
      <c r="M30" s="176">
        <v>263490.34000000003</v>
      </c>
      <c r="N30" s="419">
        <f>L30/K30</f>
        <v>0.75</v>
      </c>
      <c r="O30" s="175"/>
      <c r="P30" s="175">
        <v>790471.02</v>
      </c>
      <c r="Q30" s="201"/>
      <c r="R30" s="201"/>
      <c r="S30" s="201"/>
      <c r="T30" s="201"/>
      <c r="U30" s="201"/>
      <c r="V30" s="201"/>
      <c r="W30" s="179"/>
      <c r="X30" s="201"/>
      <c r="Y30" s="410" t="b">
        <f t="shared" si="8"/>
        <v>1</v>
      </c>
      <c r="Z30" s="411">
        <f t="shared" si="9"/>
        <v>0.75</v>
      </c>
      <c r="AA30" s="412" t="b">
        <f t="shared" si="10"/>
        <v>1</v>
      </c>
      <c r="AB30" s="412" t="b">
        <f t="shared" si="11"/>
        <v>1</v>
      </c>
      <c r="AC30" s="505"/>
      <c r="AD30" s="505"/>
      <c r="AE30" s="445"/>
      <c r="AF30" s="505"/>
      <c r="AG30" s="537"/>
      <c r="AH30" s="537"/>
      <c r="AI30" s="537"/>
      <c r="AJ30" s="537"/>
    </row>
    <row r="31" spans="1:36" ht="45.75" customHeight="1" thickTop="1" thickBot="1">
      <c r="A31" s="182">
        <v>29</v>
      </c>
      <c r="B31" s="348" t="s">
        <v>188</v>
      </c>
      <c r="C31" s="173" t="s">
        <v>67</v>
      </c>
      <c r="D31" s="368" t="s">
        <v>149</v>
      </c>
      <c r="E31" s="417">
        <v>2407022</v>
      </c>
      <c r="F31" s="183" t="s">
        <v>407</v>
      </c>
      <c r="G31" s="418" t="s">
        <v>236</v>
      </c>
      <c r="H31" s="172" t="s">
        <v>121</v>
      </c>
      <c r="I31" s="174">
        <v>0.32600000000000001</v>
      </c>
      <c r="J31" s="194" t="s">
        <v>423</v>
      </c>
      <c r="K31" s="201">
        <v>535608.32999999996</v>
      </c>
      <c r="L31" s="175">
        <v>267804.15999999997</v>
      </c>
      <c r="M31" s="176">
        <v>267804.17</v>
      </c>
      <c r="N31" s="419">
        <v>0.5</v>
      </c>
      <c r="O31" s="175">
        <v>0</v>
      </c>
      <c r="P31" s="175">
        <v>267804.15999999997</v>
      </c>
      <c r="Q31" s="201"/>
      <c r="R31" s="201"/>
      <c r="S31" s="201"/>
      <c r="T31" s="201"/>
      <c r="U31" s="201"/>
      <c r="V31" s="201"/>
      <c r="W31" s="179"/>
      <c r="X31" s="201"/>
      <c r="Y31" s="410" t="b">
        <f t="shared" si="8"/>
        <v>1</v>
      </c>
      <c r="Z31" s="411">
        <f t="shared" si="9"/>
        <v>0.5</v>
      </c>
      <c r="AA31" s="412" t="b">
        <f t="shared" si="10"/>
        <v>1</v>
      </c>
      <c r="AB31" s="412" t="b">
        <f t="shared" si="11"/>
        <v>1</v>
      </c>
      <c r="AC31" s="505"/>
      <c r="AD31" s="505"/>
      <c r="AE31" s="445"/>
      <c r="AF31" s="505"/>
      <c r="AG31" s="537"/>
      <c r="AH31" s="537"/>
      <c r="AI31" s="537"/>
      <c r="AJ31" s="537"/>
    </row>
    <row r="32" spans="1:36" s="422" customFormat="1" ht="61.5" thickTop="1" thickBot="1">
      <c r="A32" s="181">
        <v>30</v>
      </c>
      <c r="B32" s="420" t="s">
        <v>189</v>
      </c>
      <c r="C32" s="168" t="s">
        <v>66</v>
      </c>
      <c r="D32" s="365" t="s">
        <v>150</v>
      </c>
      <c r="E32" s="415">
        <v>2415092</v>
      </c>
      <c r="F32" s="184" t="s">
        <v>298</v>
      </c>
      <c r="G32" s="421" t="s">
        <v>237</v>
      </c>
      <c r="H32" s="167" t="s">
        <v>123</v>
      </c>
      <c r="I32" s="169">
        <v>0.65100000000000002</v>
      </c>
      <c r="J32" s="195" t="s">
        <v>422</v>
      </c>
      <c r="K32" s="170">
        <v>3102041</v>
      </c>
      <c r="L32" s="170">
        <f>P32+Q32</f>
        <v>1551020.5</v>
      </c>
      <c r="M32" s="171">
        <f t="shared" ref="M32:M34" si="12">K32-L32</f>
        <v>1551020.5</v>
      </c>
      <c r="N32" s="355">
        <v>0.5</v>
      </c>
      <c r="O32" s="170">
        <v>0</v>
      </c>
      <c r="P32" s="179">
        <v>551020.5</v>
      </c>
      <c r="Q32" s="179">
        <v>1000000</v>
      </c>
      <c r="R32" s="179"/>
      <c r="S32" s="179"/>
      <c r="T32" s="179"/>
      <c r="U32" s="179"/>
      <c r="V32" s="179"/>
      <c r="W32" s="179"/>
      <c r="X32" s="179"/>
      <c r="Y32" s="410" t="b">
        <f t="shared" si="8"/>
        <v>1</v>
      </c>
      <c r="Z32" s="411">
        <f t="shared" si="9"/>
        <v>0.5</v>
      </c>
      <c r="AA32" s="412" t="b">
        <f t="shared" si="10"/>
        <v>1</v>
      </c>
      <c r="AB32" s="412" t="b">
        <f t="shared" si="11"/>
        <v>1</v>
      </c>
      <c r="AC32" s="505"/>
      <c r="AD32" s="505"/>
      <c r="AE32" s="506"/>
      <c r="AF32" s="505"/>
      <c r="AG32" s="537"/>
      <c r="AH32" s="537"/>
      <c r="AI32" s="537"/>
      <c r="AJ32" s="537"/>
    </row>
    <row r="33" spans="1:36" ht="31.5" thickTop="1" thickBot="1">
      <c r="A33" s="182">
        <v>31</v>
      </c>
      <c r="B33" s="416" t="s">
        <v>190</v>
      </c>
      <c r="C33" s="173" t="s">
        <v>67</v>
      </c>
      <c r="D33" s="368" t="s">
        <v>151</v>
      </c>
      <c r="E33" s="417">
        <v>2403082</v>
      </c>
      <c r="F33" s="183" t="s">
        <v>405</v>
      </c>
      <c r="G33" s="418" t="s">
        <v>238</v>
      </c>
      <c r="H33" s="172" t="s">
        <v>123</v>
      </c>
      <c r="I33" s="174">
        <v>0.61699999999999999</v>
      </c>
      <c r="J33" s="194" t="s">
        <v>416</v>
      </c>
      <c r="K33" s="201">
        <v>1277626</v>
      </c>
      <c r="L33" s="175">
        <f t="shared" ref="L33" si="13">ROUND(K33*N33,2)</f>
        <v>702694.3</v>
      </c>
      <c r="M33" s="176">
        <f t="shared" si="12"/>
        <v>574931.69999999995</v>
      </c>
      <c r="N33" s="419">
        <v>0.55000000000000004</v>
      </c>
      <c r="O33" s="175">
        <v>0</v>
      </c>
      <c r="P33" s="175">
        <v>702694.3</v>
      </c>
      <c r="Q33" s="201"/>
      <c r="R33" s="201"/>
      <c r="S33" s="201"/>
      <c r="T33" s="201"/>
      <c r="U33" s="201"/>
      <c r="V33" s="201"/>
      <c r="W33" s="179"/>
      <c r="X33" s="201"/>
      <c r="Y33" s="410" t="b">
        <f t="shared" si="8"/>
        <v>1</v>
      </c>
      <c r="Z33" s="411">
        <f t="shared" si="9"/>
        <v>0.55000000000000004</v>
      </c>
      <c r="AA33" s="412" t="b">
        <f t="shared" si="10"/>
        <v>1</v>
      </c>
      <c r="AB33" s="412" t="b">
        <f t="shared" si="11"/>
        <v>1</v>
      </c>
      <c r="AC33" s="505"/>
      <c r="AD33" s="505"/>
      <c r="AE33" s="445"/>
      <c r="AF33" s="505"/>
      <c r="AG33" s="537"/>
      <c r="AH33" s="537"/>
      <c r="AI33" s="537"/>
      <c r="AJ33" s="537"/>
    </row>
    <row r="34" spans="1:36" ht="31.5" thickTop="1" thickBot="1">
      <c r="A34" s="182">
        <v>32</v>
      </c>
      <c r="B34" s="416" t="s">
        <v>191</v>
      </c>
      <c r="C34" s="173" t="s">
        <v>67</v>
      </c>
      <c r="D34" s="368" t="s">
        <v>152</v>
      </c>
      <c r="E34" s="417">
        <v>2414011</v>
      </c>
      <c r="F34" s="183" t="s">
        <v>408</v>
      </c>
      <c r="G34" s="418" t="s">
        <v>239</v>
      </c>
      <c r="H34" s="172" t="s">
        <v>121</v>
      </c>
      <c r="I34" s="174">
        <v>0.65900000000000003</v>
      </c>
      <c r="J34" s="194" t="s">
        <v>432</v>
      </c>
      <c r="K34" s="201">
        <v>1166572.8500000001</v>
      </c>
      <c r="L34" s="175">
        <v>583286.42000000004</v>
      </c>
      <c r="M34" s="176">
        <f t="shared" si="12"/>
        <v>583286.43000000005</v>
      </c>
      <c r="N34" s="419">
        <v>0.5</v>
      </c>
      <c r="O34" s="175">
        <v>0</v>
      </c>
      <c r="P34" s="175">
        <v>583286.42000000004</v>
      </c>
      <c r="Q34" s="201"/>
      <c r="R34" s="201"/>
      <c r="S34" s="201"/>
      <c r="T34" s="201"/>
      <c r="U34" s="201"/>
      <c r="V34" s="201"/>
      <c r="W34" s="179"/>
      <c r="X34" s="201"/>
      <c r="Y34" s="410" t="b">
        <f t="shared" si="8"/>
        <v>1</v>
      </c>
      <c r="Z34" s="411">
        <f t="shared" si="9"/>
        <v>0.5</v>
      </c>
      <c r="AA34" s="412" t="b">
        <f t="shared" si="10"/>
        <v>1</v>
      </c>
      <c r="AB34" s="412" t="b">
        <f t="shared" si="11"/>
        <v>1</v>
      </c>
      <c r="AC34" s="505"/>
      <c r="AD34" s="505"/>
      <c r="AE34" s="445"/>
      <c r="AF34" s="505"/>
      <c r="AG34" s="537"/>
      <c r="AH34" s="537"/>
      <c r="AI34" s="537"/>
      <c r="AJ34" s="537"/>
    </row>
    <row r="35" spans="1:36" ht="31.5" thickTop="1" thickBot="1">
      <c r="A35" s="182">
        <v>33</v>
      </c>
      <c r="B35" s="416" t="s">
        <v>192</v>
      </c>
      <c r="C35" s="173" t="s">
        <v>67</v>
      </c>
      <c r="D35" s="368" t="s">
        <v>153</v>
      </c>
      <c r="E35" s="417">
        <v>2415062</v>
      </c>
      <c r="F35" s="183" t="s">
        <v>298</v>
      </c>
      <c r="G35" s="418" t="s">
        <v>240</v>
      </c>
      <c r="H35" s="172" t="s">
        <v>123</v>
      </c>
      <c r="I35" s="174">
        <v>0.66100000000000003</v>
      </c>
      <c r="J35" s="194" t="s">
        <v>423</v>
      </c>
      <c r="K35" s="201">
        <v>1151232.79</v>
      </c>
      <c r="L35" s="175">
        <v>633178.03</v>
      </c>
      <c r="M35" s="176">
        <v>518054.76</v>
      </c>
      <c r="N35" s="419">
        <v>0.55000000000000004</v>
      </c>
      <c r="O35" s="175">
        <v>0</v>
      </c>
      <c r="P35" s="175">
        <v>633178.03</v>
      </c>
      <c r="Q35" s="201"/>
      <c r="R35" s="201"/>
      <c r="S35" s="201"/>
      <c r="T35" s="201"/>
      <c r="U35" s="201"/>
      <c r="V35" s="201"/>
      <c r="W35" s="179"/>
      <c r="X35" s="201"/>
      <c r="Y35" s="410" t="b">
        <f t="shared" si="8"/>
        <v>1</v>
      </c>
      <c r="Z35" s="411">
        <f t="shared" si="9"/>
        <v>0.55000000000000004</v>
      </c>
      <c r="AA35" s="412" t="b">
        <f t="shared" si="10"/>
        <v>1</v>
      </c>
      <c r="AB35" s="412" t="b">
        <f t="shared" si="11"/>
        <v>1</v>
      </c>
      <c r="AC35" s="505"/>
      <c r="AD35" s="505"/>
      <c r="AE35" s="445"/>
      <c r="AF35" s="505"/>
      <c r="AG35" s="537"/>
      <c r="AH35" s="537"/>
      <c r="AI35" s="537"/>
      <c r="AJ35" s="537"/>
    </row>
    <row r="36" spans="1:36" ht="31.5" thickTop="1" thickBot="1">
      <c r="A36" s="182">
        <v>34</v>
      </c>
      <c r="B36" s="416" t="s">
        <v>193</v>
      </c>
      <c r="C36" s="173" t="s">
        <v>67</v>
      </c>
      <c r="D36" s="368" t="s">
        <v>154</v>
      </c>
      <c r="E36" s="417">
        <v>2407052</v>
      </c>
      <c r="F36" s="183" t="s">
        <v>407</v>
      </c>
      <c r="G36" s="418" t="s">
        <v>241</v>
      </c>
      <c r="H36" s="172" t="s">
        <v>123</v>
      </c>
      <c r="I36" s="174">
        <v>0.60299999999999998</v>
      </c>
      <c r="J36" s="194" t="s">
        <v>424</v>
      </c>
      <c r="K36" s="201">
        <f>L36+M36</f>
        <v>857436.55</v>
      </c>
      <c r="L36" s="175">
        <v>514461.93</v>
      </c>
      <c r="M36" s="176">
        <v>342974.62</v>
      </c>
      <c r="N36" s="419">
        <f>L36/K36</f>
        <v>0.6</v>
      </c>
      <c r="O36" s="175">
        <v>0</v>
      </c>
      <c r="P36" s="175">
        <f>L36</f>
        <v>514461.93</v>
      </c>
      <c r="Q36" s="201"/>
      <c r="R36" s="201"/>
      <c r="S36" s="201"/>
      <c r="T36" s="201"/>
      <c r="U36" s="201"/>
      <c r="V36" s="201"/>
      <c r="W36" s="179"/>
      <c r="X36" s="201"/>
      <c r="Y36" s="410" t="b">
        <f t="shared" si="8"/>
        <v>1</v>
      </c>
      <c r="Z36" s="411">
        <f t="shared" si="9"/>
        <v>0.6</v>
      </c>
      <c r="AA36" s="412" t="b">
        <f t="shared" si="10"/>
        <v>1</v>
      </c>
      <c r="AB36" s="412" t="b">
        <f t="shared" si="11"/>
        <v>1</v>
      </c>
      <c r="AC36" s="505"/>
      <c r="AD36" s="505"/>
      <c r="AE36" s="445"/>
      <c r="AF36" s="505"/>
      <c r="AG36" s="537"/>
      <c r="AH36" s="537"/>
      <c r="AI36" s="537"/>
      <c r="AJ36" s="537"/>
    </row>
    <row r="37" spans="1:36" ht="31.5" thickTop="1" thickBot="1">
      <c r="A37" s="182">
        <v>35</v>
      </c>
      <c r="B37" s="416" t="s">
        <v>194</v>
      </c>
      <c r="C37" s="173" t="s">
        <v>67</v>
      </c>
      <c r="D37" s="368" t="s">
        <v>147</v>
      </c>
      <c r="E37" s="524">
        <v>2462011</v>
      </c>
      <c r="F37" s="183" t="s">
        <v>406</v>
      </c>
      <c r="G37" s="418" t="s">
        <v>242</v>
      </c>
      <c r="H37" s="172" t="s">
        <v>123</v>
      </c>
      <c r="I37" s="174">
        <v>0.13500000000000001</v>
      </c>
      <c r="J37" s="194" t="s">
        <v>429</v>
      </c>
      <c r="K37" s="175">
        <v>498992.49</v>
      </c>
      <c r="L37" s="175">
        <v>374244.3</v>
      </c>
      <c r="M37" s="175">
        <v>124748.19</v>
      </c>
      <c r="N37" s="419">
        <f>L37/K37</f>
        <v>0.74999986472742308</v>
      </c>
      <c r="O37" s="175">
        <v>0</v>
      </c>
      <c r="P37" s="175">
        <f>L37</f>
        <v>374244.3</v>
      </c>
      <c r="Q37" s="201"/>
      <c r="R37" s="201"/>
      <c r="S37" s="201"/>
      <c r="T37" s="201"/>
      <c r="U37" s="201"/>
      <c r="V37" s="201"/>
      <c r="W37" s="179"/>
      <c r="X37" s="201"/>
      <c r="Y37" s="410" t="b">
        <f t="shared" si="8"/>
        <v>1</v>
      </c>
      <c r="Z37" s="411">
        <f t="shared" si="9"/>
        <v>0.75</v>
      </c>
      <c r="AA37" s="412" t="b">
        <f t="shared" si="10"/>
        <v>0</v>
      </c>
      <c r="AB37" s="412" t="b">
        <f t="shared" si="11"/>
        <v>1</v>
      </c>
      <c r="AC37" s="505"/>
      <c r="AD37" s="505"/>
      <c r="AE37" s="445"/>
      <c r="AF37" s="505"/>
      <c r="AG37" s="537"/>
      <c r="AH37" s="537"/>
      <c r="AI37" s="537"/>
      <c r="AJ37" s="537"/>
    </row>
    <row r="38" spans="1:36" ht="31.5" thickTop="1" thickBot="1">
      <c r="A38" s="182">
        <v>36</v>
      </c>
      <c r="B38" s="416" t="s">
        <v>195</v>
      </c>
      <c r="C38" s="173" t="s">
        <v>67</v>
      </c>
      <c r="D38" s="368" t="s">
        <v>155</v>
      </c>
      <c r="E38" s="525">
        <v>2404063</v>
      </c>
      <c r="F38" s="183" t="s">
        <v>409</v>
      </c>
      <c r="G38" s="423" t="s">
        <v>243</v>
      </c>
      <c r="H38" s="172" t="s">
        <v>123</v>
      </c>
      <c r="I38" s="174">
        <v>0.64500000000000002</v>
      </c>
      <c r="J38" s="194" t="s">
        <v>425</v>
      </c>
      <c r="K38" s="201">
        <f>L38+M38</f>
        <v>824419.25</v>
      </c>
      <c r="L38" s="175">
        <v>618314.43000000005</v>
      </c>
      <c r="M38" s="176">
        <v>206104.82</v>
      </c>
      <c r="N38" s="419">
        <v>0.75</v>
      </c>
      <c r="O38" s="175">
        <v>0</v>
      </c>
      <c r="P38" s="175">
        <v>618314.43000000005</v>
      </c>
      <c r="Q38" s="201"/>
      <c r="R38" s="201"/>
      <c r="S38" s="201"/>
      <c r="T38" s="201"/>
      <c r="U38" s="201"/>
      <c r="V38" s="201"/>
      <c r="W38" s="179"/>
      <c r="X38" s="201"/>
      <c r="Y38" s="410" t="b">
        <f t="shared" si="8"/>
        <v>1</v>
      </c>
      <c r="Z38" s="411">
        <f t="shared" si="9"/>
        <v>0.75</v>
      </c>
      <c r="AA38" s="412" t="b">
        <f t="shared" si="10"/>
        <v>1</v>
      </c>
      <c r="AB38" s="412" t="b">
        <f t="shared" si="11"/>
        <v>1</v>
      </c>
      <c r="AC38" s="505"/>
      <c r="AD38" s="505"/>
      <c r="AE38" s="445"/>
      <c r="AF38" s="505"/>
      <c r="AG38" s="537"/>
      <c r="AH38" s="537"/>
      <c r="AI38" s="537"/>
      <c r="AJ38" s="537"/>
    </row>
    <row r="39" spans="1:36" ht="31.5" thickTop="1" thickBot="1">
      <c r="A39" s="182">
        <v>37</v>
      </c>
      <c r="B39" s="416" t="s">
        <v>196</v>
      </c>
      <c r="C39" s="173" t="s">
        <v>67</v>
      </c>
      <c r="D39" s="368" t="s">
        <v>156</v>
      </c>
      <c r="E39" s="417">
        <v>2404102</v>
      </c>
      <c r="F39" s="183" t="s">
        <v>409</v>
      </c>
      <c r="G39" s="418" t="s">
        <v>244</v>
      </c>
      <c r="H39" s="172" t="s">
        <v>123</v>
      </c>
      <c r="I39" s="174">
        <v>0.36399999999999999</v>
      </c>
      <c r="J39" s="194" t="s">
        <v>400</v>
      </c>
      <c r="K39" s="201">
        <v>675874.99999999988</v>
      </c>
      <c r="L39" s="175">
        <v>371731.25</v>
      </c>
      <c r="M39" s="175">
        <v>304143.74999999988</v>
      </c>
      <c r="N39" s="419">
        <f>L39/K39</f>
        <v>0.55000000000000004</v>
      </c>
      <c r="O39" s="175">
        <v>0</v>
      </c>
      <c r="P39" s="175">
        <v>371731.25</v>
      </c>
      <c r="Q39" s="201"/>
      <c r="R39" s="201"/>
      <c r="S39" s="201"/>
      <c r="T39" s="201"/>
      <c r="U39" s="201"/>
      <c r="V39" s="201"/>
      <c r="W39" s="179"/>
      <c r="X39" s="201"/>
      <c r="Y39" s="410" t="b">
        <f t="shared" si="8"/>
        <v>1</v>
      </c>
      <c r="Z39" s="411">
        <f t="shared" si="9"/>
        <v>0.55000000000000004</v>
      </c>
      <c r="AA39" s="412" t="b">
        <f t="shared" si="10"/>
        <v>1</v>
      </c>
      <c r="AB39" s="412" t="b">
        <f t="shared" si="11"/>
        <v>1</v>
      </c>
      <c r="AC39" s="505"/>
      <c r="AD39" s="505"/>
      <c r="AE39" s="445"/>
      <c r="AF39" s="505"/>
      <c r="AG39" s="537"/>
      <c r="AH39" s="537"/>
      <c r="AI39" s="537"/>
      <c r="AJ39" s="537"/>
    </row>
    <row r="40" spans="1:36" ht="31.5" thickTop="1" thickBot="1">
      <c r="A40" s="182">
        <v>38</v>
      </c>
      <c r="B40" s="416" t="s">
        <v>197</v>
      </c>
      <c r="C40" s="173" t="s">
        <v>67</v>
      </c>
      <c r="D40" s="368" t="s">
        <v>157</v>
      </c>
      <c r="E40" s="417">
        <v>2406052</v>
      </c>
      <c r="F40" s="183" t="s">
        <v>294</v>
      </c>
      <c r="G40" s="418" t="s">
        <v>245</v>
      </c>
      <c r="H40" s="172" t="s">
        <v>123</v>
      </c>
      <c r="I40" s="174">
        <v>0.41</v>
      </c>
      <c r="J40" s="194" t="s">
        <v>426</v>
      </c>
      <c r="K40" s="201">
        <f>L40+M40</f>
        <v>199023.87</v>
      </c>
      <c r="L40" s="175">
        <v>139316.70000000001</v>
      </c>
      <c r="M40" s="176">
        <v>59707.17</v>
      </c>
      <c r="N40" s="419">
        <f>L40/K40</f>
        <v>0.69999995477929366</v>
      </c>
      <c r="O40" s="175">
        <v>0</v>
      </c>
      <c r="P40" s="175">
        <f>L40</f>
        <v>139316.70000000001</v>
      </c>
      <c r="Q40" s="201"/>
      <c r="R40" s="201"/>
      <c r="S40" s="201"/>
      <c r="T40" s="201"/>
      <c r="U40" s="201"/>
      <c r="V40" s="201"/>
      <c r="W40" s="179"/>
      <c r="X40" s="201"/>
      <c r="Y40" s="410" t="b">
        <f t="shared" si="8"/>
        <v>1</v>
      </c>
      <c r="Z40" s="411">
        <f t="shared" si="9"/>
        <v>0.7</v>
      </c>
      <c r="AA40" s="412" t="b">
        <f t="shared" si="10"/>
        <v>0</v>
      </c>
      <c r="AB40" s="412" t="b">
        <f t="shared" si="11"/>
        <v>1</v>
      </c>
      <c r="AC40" s="505"/>
      <c r="AD40" s="505"/>
      <c r="AE40" s="445"/>
      <c r="AF40" s="505"/>
      <c r="AG40" s="537"/>
      <c r="AH40" s="537"/>
      <c r="AI40" s="537"/>
      <c r="AJ40" s="537"/>
    </row>
    <row r="41" spans="1:36" ht="31.5" thickTop="1" thickBot="1">
      <c r="A41" s="182">
        <v>39</v>
      </c>
      <c r="B41" s="416" t="s">
        <v>198</v>
      </c>
      <c r="C41" s="173" t="s">
        <v>67</v>
      </c>
      <c r="D41" s="368" t="s">
        <v>158</v>
      </c>
      <c r="E41" s="417">
        <v>2413031</v>
      </c>
      <c r="F41" s="183" t="s">
        <v>329</v>
      </c>
      <c r="G41" s="418" t="s">
        <v>246</v>
      </c>
      <c r="H41" s="172" t="s">
        <v>123</v>
      </c>
      <c r="I41" s="174">
        <v>0.48</v>
      </c>
      <c r="J41" s="194" t="s">
        <v>400</v>
      </c>
      <c r="K41" s="201">
        <v>970000</v>
      </c>
      <c r="L41" s="175">
        <f t="shared" ref="L41:L50" si="14">ROUND(K41*N41,2)</f>
        <v>485000</v>
      </c>
      <c r="M41" s="176">
        <f t="shared" ref="M41:M63" si="15">K41-L41</f>
        <v>485000</v>
      </c>
      <c r="N41" s="419">
        <v>0.5</v>
      </c>
      <c r="O41" s="175">
        <v>0</v>
      </c>
      <c r="P41" s="175">
        <v>485000</v>
      </c>
      <c r="Q41" s="201"/>
      <c r="R41" s="201"/>
      <c r="S41" s="201"/>
      <c r="T41" s="201"/>
      <c r="U41" s="201"/>
      <c r="V41" s="201"/>
      <c r="W41" s="179"/>
      <c r="X41" s="201"/>
      <c r="Y41" s="410" t="b">
        <f t="shared" si="8"/>
        <v>1</v>
      </c>
      <c r="Z41" s="411">
        <f t="shared" si="9"/>
        <v>0.5</v>
      </c>
      <c r="AA41" s="412" t="b">
        <f t="shared" si="10"/>
        <v>1</v>
      </c>
      <c r="AB41" s="412" t="b">
        <f t="shared" si="11"/>
        <v>1</v>
      </c>
      <c r="AC41" s="505"/>
      <c r="AD41" s="505"/>
      <c r="AE41" s="445"/>
      <c r="AF41" s="505"/>
      <c r="AG41" s="537"/>
      <c r="AH41" s="537"/>
      <c r="AI41" s="537"/>
      <c r="AJ41" s="537"/>
    </row>
    <row r="42" spans="1:36" s="422" customFormat="1" ht="31.5" thickTop="1" thickBot="1">
      <c r="A42" s="181">
        <v>40</v>
      </c>
      <c r="B42" s="420" t="s">
        <v>199</v>
      </c>
      <c r="C42" s="168" t="s">
        <v>66</v>
      </c>
      <c r="D42" s="365" t="s">
        <v>159</v>
      </c>
      <c r="E42" s="417">
        <v>2405011</v>
      </c>
      <c r="F42" s="184" t="s">
        <v>410</v>
      </c>
      <c r="G42" s="421" t="s">
        <v>247</v>
      </c>
      <c r="H42" s="167" t="s">
        <v>123</v>
      </c>
      <c r="I42" s="169">
        <v>0.71399999999999997</v>
      </c>
      <c r="J42" s="195" t="s">
        <v>428</v>
      </c>
      <c r="K42" s="179">
        <v>4411451.75</v>
      </c>
      <c r="L42" s="170">
        <v>2205725.87</v>
      </c>
      <c r="M42" s="171">
        <v>2205725.88</v>
      </c>
      <c r="N42" s="355">
        <v>0.5</v>
      </c>
      <c r="O42" s="170">
        <v>0</v>
      </c>
      <c r="P42" s="170">
        <v>2105725.87</v>
      </c>
      <c r="Q42" s="179">
        <v>100000</v>
      </c>
      <c r="R42" s="179"/>
      <c r="S42" s="179"/>
      <c r="T42" s="179"/>
      <c r="U42" s="179"/>
      <c r="V42" s="179"/>
      <c r="W42" s="179"/>
      <c r="X42" s="179"/>
      <c r="Y42" s="410" t="b">
        <f t="shared" si="8"/>
        <v>1</v>
      </c>
      <c r="Z42" s="411">
        <f t="shared" si="9"/>
        <v>0.5</v>
      </c>
      <c r="AA42" s="412" t="b">
        <f t="shared" si="10"/>
        <v>1</v>
      </c>
      <c r="AB42" s="412" t="b">
        <f t="shared" si="11"/>
        <v>1</v>
      </c>
      <c r="AC42" s="505"/>
      <c r="AD42" s="505"/>
      <c r="AE42" s="506"/>
      <c r="AF42" s="505"/>
      <c r="AG42" s="537"/>
      <c r="AH42" s="537"/>
      <c r="AI42" s="537"/>
      <c r="AJ42" s="537"/>
    </row>
    <row r="43" spans="1:36" ht="31.5" thickTop="1" thickBot="1">
      <c r="A43" s="182">
        <v>41</v>
      </c>
      <c r="B43" s="416" t="s">
        <v>200</v>
      </c>
      <c r="C43" s="173" t="s">
        <v>67</v>
      </c>
      <c r="D43" s="368" t="s">
        <v>160</v>
      </c>
      <c r="E43" s="417">
        <v>2405082</v>
      </c>
      <c r="F43" s="183" t="s">
        <v>410</v>
      </c>
      <c r="G43" s="418" t="s">
        <v>248</v>
      </c>
      <c r="H43" s="172" t="s">
        <v>123</v>
      </c>
      <c r="I43" s="174">
        <v>0.376</v>
      </c>
      <c r="J43" s="194" t="s">
        <v>429</v>
      </c>
      <c r="K43" s="201">
        <v>209894.12</v>
      </c>
      <c r="L43" s="175">
        <v>104947.06</v>
      </c>
      <c r="M43" s="176">
        <v>104947.06</v>
      </c>
      <c r="N43" s="419">
        <v>0.5</v>
      </c>
      <c r="O43" s="175">
        <v>0</v>
      </c>
      <c r="P43" s="175">
        <v>104947.06</v>
      </c>
      <c r="Q43" s="201"/>
      <c r="R43" s="201"/>
      <c r="S43" s="201"/>
      <c r="T43" s="201"/>
      <c r="U43" s="201"/>
      <c r="V43" s="201"/>
      <c r="W43" s="179"/>
      <c r="X43" s="201"/>
      <c r="Y43" s="410" t="b">
        <f t="shared" si="8"/>
        <v>1</v>
      </c>
      <c r="Z43" s="411">
        <f t="shared" si="9"/>
        <v>0.5</v>
      </c>
      <c r="AA43" s="412" t="b">
        <f t="shared" si="10"/>
        <v>1</v>
      </c>
      <c r="AB43" s="412" t="b">
        <f t="shared" si="11"/>
        <v>1</v>
      </c>
      <c r="AC43" s="505"/>
      <c r="AD43" s="505"/>
      <c r="AE43" s="445"/>
      <c r="AF43" s="505"/>
      <c r="AG43" s="537"/>
      <c r="AH43" s="537"/>
      <c r="AI43" s="537"/>
      <c r="AJ43" s="537"/>
    </row>
    <row r="44" spans="1:36" s="422" customFormat="1" ht="61.5" thickTop="1" thickBot="1">
      <c r="A44" s="181">
        <v>42</v>
      </c>
      <c r="B44" s="420" t="s">
        <v>201</v>
      </c>
      <c r="C44" s="168" t="s">
        <v>66</v>
      </c>
      <c r="D44" s="365" t="s">
        <v>161</v>
      </c>
      <c r="E44" s="415">
        <v>2411011</v>
      </c>
      <c r="F44" s="184" t="s">
        <v>310</v>
      </c>
      <c r="G44" s="421" t="s">
        <v>249</v>
      </c>
      <c r="H44" s="167" t="s">
        <v>123</v>
      </c>
      <c r="I44" s="169">
        <v>0.49199999999999999</v>
      </c>
      <c r="J44" s="195" t="s">
        <v>826</v>
      </c>
      <c r="K44" s="179">
        <f>L44+M44</f>
        <v>1268529.3</v>
      </c>
      <c r="L44" s="170">
        <f>P44+Q44</f>
        <v>634264</v>
      </c>
      <c r="M44" s="171">
        <v>634265.30000000005</v>
      </c>
      <c r="N44" s="355">
        <f>L44/K44</f>
        <v>0.49999948759559593</v>
      </c>
      <c r="O44" s="170">
        <v>0</v>
      </c>
      <c r="P44" s="170">
        <v>611418</v>
      </c>
      <c r="Q44" s="179">
        <v>22846</v>
      </c>
      <c r="R44" s="179"/>
      <c r="S44" s="179"/>
      <c r="T44" s="179"/>
      <c r="U44" s="179"/>
      <c r="V44" s="179"/>
      <c r="W44" s="179"/>
      <c r="X44" s="179"/>
      <c r="Y44" s="410" t="b">
        <f t="shared" si="8"/>
        <v>1</v>
      </c>
      <c r="Z44" s="411">
        <f t="shared" si="9"/>
        <v>0.5</v>
      </c>
      <c r="AA44" s="412" t="b">
        <f t="shared" si="10"/>
        <v>0</v>
      </c>
      <c r="AB44" s="412" t="b">
        <f t="shared" si="11"/>
        <v>1</v>
      </c>
      <c r="AC44" s="505"/>
      <c r="AD44" s="505"/>
      <c r="AE44" s="506"/>
      <c r="AF44" s="505"/>
      <c r="AG44" s="537"/>
      <c r="AH44" s="537"/>
      <c r="AI44" s="537"/>
      <c r="AJ44" s="537"/>
    </row>
    <row r="45" spans="1:36" ht="31.5" thickTop="1" thickBot="1">
      <c r="A45" s="182">
        <v>43</v>
      </c>
      <c r="B45" s="416" t="s">
        <v>202</v>
      </c>
      <c r="C45" s="173" t="s">
        <v>67</v>
      </c>
      <c r="D45" s="368" t="s">
        <v>162</v>
      </c>
      <c r="E45" s="417">
        <v>2404032</v>
      </c>
      <c r="F45" s="183" t="s">
        <v>409</v>
      </c>
      <c r="G45" s="464" t="s">
        <v>250</v>
      </c>
      <c r="H45" s="172" t="s">
        <v>123</v>
      </c>
      <c r="I45" s="174">
        <v>0.65700000000000003</v>
      </c>
      <c r="J45" s="194" t="s">
        <v>823</v>
      </c>
      <c r="K45" s="201">
        <f>284554.29+189702.86</f>
        <v>474257.14999999997</v>
      </c>
      <c r="L45" s="175">
        <f t="shared" si="14"/>
        <v>284554.28999999998</v>
      </c>
      <c r="M45" s="176">
        <f t="shared" si="15"/>
        <v>189702.86</v>
      </c>
      <c r="N45" s="419">
        <v>0.6</v>
      </c>
      <c r="O45" s="175">
        <v>0</v>
      </c>
      <c r="P45" s="175">
        <v>284554.28999999998</v>
      </c>
      <c r="Q45" s="201"/>
      <c r="R45" s="201"/>
      <c r="S45" s="201"/>
      <c r="T45" s="201"/>
      <c r="U45" s="201"/>
      <c r="V45" s="201"/>
      <c r="W45" s="179"/>
      <c r="X45" s="201"/>
      <c r="Y45" s="410" t="b">
        <f t="shared" si="8"/>
        <v>1</v>
      </c>
      <c r="Z45" s="411">
        <f t="shared" si="9"/>
        <v>0.6</v>
      </c>
      <c r="AA45" s="412" t="b">
        <f t="shared" si="10"/>
        <v>1</v>
      </c>
      <c r="AB45" s="412" t="b">
        <f t="shared" si="11"/>
        <v>1</v>
      </c>
      <c r="AC45" s="505"/>
      <c r="AD45" s="505"/>
      <c r="AE45" s="445"/>
      <c r="AF45" s="505"/>
      <c r="AG45" s="537"/>
      <c r="AH45" s="537"/>
      <c r="AI45" s="537"/>
      <c r="AJ45" s="537"/>
    </row>
    <row r="46" spans="1:36" s="422" customFormat="1" ht="46.5" thickTop="1" thickBot="1">
      <c r="A46" s="181">
        <v>44</v>
      </c>
      <c r="B46" s="420" t="s">
        <v>203</v>
      </c>
      <c r="C46" s="168" t="s">
        <v>66</v>
      </c>
      <c r="D46" s="365" t="s">
        <v>163</v>
      </c>
      <c r="E46" s="415">
        <v>2402032</v>
      </c>
      <c r="F46" s="184" t="s">
        <v>305</v>
      </c>
      <c r="G46" s="421" t="s">
        <v>251</v>
      </c>
      <c r="H46" s="167" t="s">
        <v>123</v>
      </c>
      <c r="I46" s="169">
        <v>0.58699999999999997</v>
      </c>
      <c r="J46" s="195" t="s">
        <v>797</v>
      </c>
      <c r="K46" s="179">
        <f>L46+M46</f>
        <v>2470592.87</v>
      </c>
      <c r="L46" s="170">
        <v>1358826.07</v>
      </c>
      <c r="M46" s="171">
        <v>1111766.8</v>
      </c>
      <c r="N46" s="355">
        <v>0.55000000000000004</v>
      </c>
      <c r="O46" s="170">
        <v>0</v>
      </c>
      <c r="P46" s="170">
        <v>340000</v>
      </c>
      <c r="Q46" s="179">
        <v>1018826.07</v>
      </c>
      <c r="R46" s="179"/>
      <c r="S46" s="179"/>
      <c r="T46" s="179"/>
      <c r="U46" s="179"/>
      <c r="V46" s="179"/>
      <c r="W46" s="179"/>
      <c r="X46" s="179"/>
      <c r="Y46" s="410" t="b">
        <f t="shared" si="8"/>
        <v>1</v>
      </c>
      <c r="Z46" s="411">
        <f t="shared" si="9"/>
        <v>0.55000000000000004</v>
      </c>
      <c r="AA46" s="412" t="b">
        <f t="shared" si="10"/>
        <v>1</v>
      </c>
      <c r="AB46" s="412" t="b">
        <f t="shared" si="11"/>
        <v>1</v>
      </c>
      <c r="AC46" s="505"/>
      <c r="AD46" s="505"/>
      <c r="AE46" s="506"/>
      <c r="AF46" s="505"/>
      <c r="AG46" s="537"/>
      <c r="AH46" s="537"/>
      <c r="AI46" s="537"/>
      <c r="AJ46" s="537"/>
    </row>
    <row r="47" spans="1:36" ht="31.5" thickTop="1" thickBot="1">
      <c r="A47" s="182">
        <v>45</v>
      </c>
      <c r="B47" s="416" t="s">
        <v>204</v>
      </c>
      <c r="C47" s="173" t="s">
        <v>67</v>
      </c>
      <c r="D47" s="368" t="s">
        <v>164</v>
      </c>
      <c r="E47" s="417">
        <v>2401042</v>
      </c>
      <c r="F47" s="183" t="s">
        <v>332</v>
      </c>
      <c r="G47" s="418" t="s">
        <v>252</v>
      </c>
      <c r="H47" s="172" t="s">
        <v>123</v>
      </c>
      <c r="I47" s="174">
        <v>0.47499999999999998</v>
      </c>
      <c r="J47" s="194" t="s">
        <v>417</v>
      </c>
      <c r="K47" s="201">
        <v>267442.57999999996</v>
      </c>
      <c r="L47" s="175">
        <v>200581.93</v>
      </c>
      <c r="M47" s="176">
        <v>66860.649999999965</v>
      </c>
      <c r="N47" s="419">
        <v>0.75</v>
      </c>
      <c r="O47" s="175">
        <v>0</v>
      </c>
      <c r="P47" s="175">
        <v>200581.93</v>
      </c>
      <c r="Q47" s="201"/>
      <c r="R47" s="201"/>
      <c r="S47" s="201"/>
      <c r="T47" s="201"/>
      <c r="U47" s="201"/>
      <c r="V47" s="201"/>
      <c r="W47" s="179"/>
      <c r="X47" s="201"/>
      <c r="Y47" s="410" t="b">
        <f t="shared" si="8"/>
        <v>1</v>
      </c>
      <c r="Z47" s="411">
        <f t="shared" si="9"/>
        <v>0.75</v>
      </c>
      <c r="AA47" s="412" t="b">
        <f t="shared" si="10"/>
        <v>1</v>
      </c>
      <c r="AB47" s="412" t="b">
        <f t="shared" si="11"/>
        <v>1</v>
      </c>
      <c r="AC47" s="505"/>
      <c r="AD47" s="505"/>
      <c r="AE47" s="445"/>
      <c r="AF47" s="505"/>
      <c r="AG47" s="537"/>
      <c r="AH47" s="537"/>
      <c r="AI47" s="537"/>
      <c r="AJ47" s="537"/>
    </row>
    <row r="48" spans="1:36" ht="31.5" thickTop="1" thickBot="1">
      <c r="A48" s="182">
        <v>46</v>
      </c>
      <c r="B48" s="416" t="s">
        <v>205</v>
      </c>
      <c r="C48" s="173" t="s">
        <v>67</v>
      </c>
      <c r="D48" s="368" t="s">
        <v>165</v>
      </c>
      <c r="E48" s="525">
        <v>2405042</v>
      </c>
      <c r="F48" s="183" t="s">
        <v>410</v>
      </c>
      <c r="G48" s="423" t="s">
        <v>253</v>
      </c>
      <c r="H48" s="172" t="s">
        <v>123</v>
      </c>
      <c r="I48" s="174">
        <v>1.2410000000000001</v>
      </c>
      <c r="J48" s="194" t="s">
        <v>396</v>
      </c>
      <c r="K48" s="201">
        <v>1114605.6200000001</v>
      </c>
      <c r="L48" s="175">
        <v>835954.21</v>
      </c>
      <c r="M48" s="176">
        <v>278651.40999999997</v>
      </c>
      <c r="N48" s="419">
        <v>0.75</v>
      </c>
      <c r="O48" s="175">
        <v>0</v>
      </c>
      <c r="P48" s="175">
        <v>835954.21</v>
      </c>
      <c r="Q48" s="201"/>
      <c r="R48" s="201"/>
      <c r="S48" s="201"/>
      <c r="T48" s="201"/>
      <c r="U48" s="201"/>
      <c r="V48" s="201"/>
      <c r="W48" s="179"/>
      <c r="X48" s="201"/>
      <c r="Y48" s="410" t="b">
        <f t="shared" si="8"/>
        <v>1</v>
      </c>
      <c r="Z48" s="411">
        <f t="shared" si="9"/>
        <v>0.75</v>
      </c>
      <c r="AA48" s="412" t="b">
        <f t="shared" si="10"/>
        <v>1</v>
      </c>
      <c r="AB48" s="412" t="b">
        <f t="shared" si="11"/>
        <v>1</v>
      </c>
      <c r="AC48" s="505"/>
      <c r="AD48" s="505"/>
      <c r="AE48" s="445"/>
      <c r="AF48" s="505"/>
      <c r="AG48" s="537"/>
      <c r="AH48" s="537"/>
      <c r="AI48" s="537"/>
      <c r="AJ48" s="537"/>
    </row>
    <row r="49" spans="1:36" ht="31.5" thickTop="1" thickBot="1">
      <c r="A49" s="182">
        <v>47</v>
      </c>
      <c r="B49" s="416" t="s">
        <v>206</v>
      </c>
      <c r="C49" s="173" t="s">
        <v>67</v>
      </c>
      <c r="D49" s="368" t="s">
        <v>166</v>
      </c>
      <c r="E49" s="417">
        <v>2403113</v>
      </c>
      <c r="F49" s="183" t="s">
        <v>405</v>
      </c>
      <c r="G49" s="418" t="s">
        <v>254</v>
      </c>
      <c r="H49" s="172" t="s">
        <v>123</v>
      </c>
      <c r="I49" s="174">
        <v>0.18</v>
      </c>
      <c r="J49" s="194" t="s">
        <v>423</v>
      </c>
      <c r="K49" s="201">
        <v>396767.34</v>
      </c>
      <c r="L49" s="175">
        <v>218222.03</v>
      </c>
      <c r="M49" s="176">
        <v>178545.31</v>
      </c>
      <c r="N49" s="419">
        <f>L49/K49</f>
        <v>0.54999998235741876</v>
      </c>
      <c r="O49" s="175">
        <v>0</v>
      </c>
      <c r="P49" s="175">
        <v>218222.03</v>
      </c>
      <c r="Q49" s="201"/>
      <c r="R49" s="201"/>
      <c r="S49" s="201"/>
      <c r="T49" s="201"/>
      <c r="U49" s="201"/>
      <c r="V49" s="201"/>
      <c r="W49" s="179"/>
      <c r="X49" s="201"/>
      <c r="Y49" s="410" t="b">
        <f t="shared" si="8"/>
        <v>1</v>
      </c>
      <c r="Z49" s="411">
        <f t="shared" si="9"/>
        <v>0.55000000000000004</v>
      </c>
      <c r="AA49" s="412" t="b">
        <f t="shared" si="10"/>
        <v>0</v>
      </c>
      <c r="AB49" s="412" t="b">
        <f t="shared" si="11"/>
        <v>1</v>
      </c>
      <c r="AC49" s="505"/>
      <c r="AD49" s="505"/>
      <c r="AE49" s="445"/>
      <c r="AF49" s="505"/>
      <c r="AG49" s="537"/>
      <c r="AH49" s="537"/>
      <c r="AI49" s="537"/>
      <c r="AJ49" s="537"/>
    </row>
    <row r="50" spans="1:36" ht="31.5" thickTop="1" thickBot="1">
      <c r="A50" s="182">
        <v>48</v>
      </c>
      <c r="B50" s="416" t="s">
        <v>207</v>
      </c>
      <c r="C50" s="173" t="s">
        <v>67</v>
      </c>
      <c r="D50" s="368" t="s">
        <v>167</v>
      </c>
      <c r="E50" s="417">
        <v>2417102</v>
      </c>
      <c r="F50" s="183" t="s">
        <v>404</v>
      </c>
      <c r="G50" s="418" t="s">
        <v>255</v>
      </c>
      <c r="H50" s="172" t="s">
        <v>123</v>
      </c>
      <c r="I50" s="174">
        <v>0.32</v>
      </c>
      <c r="J50" s="194" t="s">
        <v>426</v>
      </c>
      <c r="K50" s="201">
        <v>203156</v>
      </c>
      <c r="L50" s="175">
        <f t="shared" si="14"/>
        <v>132051.4</v>
      </c>
      <c r="M50" s="176">
        <f t="shared" si="15"/>
        <v>71104.600000000006</v>
      </c>
      <c r="N50" s="419">
        <v>0.65</v>
      </c>
      <c r="O50" s="175">
        <v>0</v>
      </c>
      <c r="P50" s="175">
        <v>132051.4</v>
      </c>
      <c r="Q50" s="201"/>
      <c r="R50" s="201"/>
      <c r="S50" s="201"/>
      <c r="T50" s="201"/>
      <c r="U50" s="201"/>
      <c r="V50" s="201"/>
      <c r="W50" s="179"/>
      <c r="X50" s="201"/>
      <c r="Y50" s="410" t="b">
        <f t="shared" si="8"/>
        <v>1</v>
      </c>
      <c r="Z50" s="411">
        <f t="shared" si="9"/>
        <v>0.65</v>
      </c>
      <c r="AA50" s="412" t="b">
        <f t="shared" si="10"/>
        <v>1</v>
      </c>
      <c r="AB50" s="412" t="b">
        <f t="shared" si="11"/>
        <v>1</v>
      </c>
      <c r="AC50" s="505"/>
      <c r="AD50" s="505"/>
      <c r="AE50" s="445"/>
      <c r="AF50" s="505"/>
      <c r="AG50" s="537"/>
      <c r="AH50" s="537"/>
      <c r="AI50" s="537"/>
      <c r="AJ50" s="537"/>
    </row>
    <row r="51" spans="1:36" ht="106.5" thickTop="1" thickBot="1">
      <c r="A51" s="182">
        <v>49</v>
      </c>
      <c r="B51" s="416" t="s">
        <v>208</v>
      </c>
      <c r="C51" s="173" t="s">
        <v>67</v>
      </c>
      <c r="D51" s="368" t="s">
        <v>137</v>
      </c>
      <c r="E51" s="417">
        <v>2416021</v>
      </c>
      <c r="F51" s="183" t="s">
        <v>308</v>
      </c>
      <c r="G51" s="418" t="s">
        <v>256</v>
      </c>
      <c r="H51" s="172" t="s">
        <v>123</v>
      </c>
      <c r="I51" s="174">
        <v>0.81</v>
      </c>
      <c r="J51" s="194" t="s">
        <v>402</v>
      </c>
      <c r="K51" s="424">
        <v>952073.85</v>
      </c>
      <c r="L51" s="425">
        <v>476036.92</v>
      </c>
      <c r="M51" s="426">
        <v>476036.93</v>
      </c>
      <c r="N51" s="419">
        <v>0.5</v>
      </c>
      <c r="O51" s="175">
        <v>0</v>
      </c>
      <c r="P51" s="175">
        <v>476036.92</v>
      </c>
      <c r="Q51" s="201"/>
      <c r="R51" s="201"/>
      <c r="S51" s="201"/>
      <c r="T51" s="201"/>
      <c r="U51" s="201"/>
      <c r="V51" s="201"/>
      <c r="W51" s="179"/>
      <c r="X51" s="201"/>
      <c r="Y51" s="410" t="b">
        <f t="shared" si="8"/>
        <v>1</v>
      </c>
      <c r="Z51" s="411">
        <f t="shared" si="9"/>
        <v>0.5</v>
      </c>
      <c r="AA51" s="412" t="b">
        <f t="shared" si="10"/>
        <v>1</v>
      </c>
      <c r="AB51" s="412" t="b">
        <f t="shared" si="11"/>
        <v>1</v>
      </c>
      <c r="AC51" s="505"/>
      <c r="AD51" s="505"/>
      <c r="AE51" s="445"/>
      <c r="AF51" s="505"/>
      <c r="AG51" s="537"/>
      <c r="AH51" s="537"/>
      <c r="AI51" s="537"/>
      <c r="AJ51" s="537"/>
    </row>
    <row r="52" spans="1:36" ht="31.5" thickTop="1" thickBot="1">
      <c r="A52" s="182">
        <v>50</v>
      </c>
      <c r="B52" s="416" t="s">
        <v>209</v>
      </c>
      <c r="C52" s="173" t="s">
        <v>67</v>
      </c>
      <c r="D52" s="368" t="s">
        <v>164</v>
      </c>
      <c r="E52" s="417">
        <v>2401042</v>
      </c>
      <c r="F52" s="183" t="s">
        <v>332</v>
      </c>
      <c r="G52" s="418" t="s">
        <v>257</v>
      </c>
      <c r="H52" s="172" t="s">
        <v>121</v>
      </c>
      <c r="I52" s="174">
        <v>0.38</v>
      </c>
      <c r="J52" s="194" t="s">
        <v>396</v>
      </c>
      <c r="K52" s="201">
        <f>SUM(L52:M52)</f>
        <v>569259.82999999996</v>
      </c>
      <c r="L52" s="175">
        <v>284629.90999999997</v>
      </c>
      <c r="M52" s="176">
        <v>284629.92</v>
      </c>
      <c r="N52" s="419">
        <v>0.5</v>
      </c>
      <c r="O52" s="175">
        <v>0</v>
      </c>
      <c r="P52" s="175">
        <v>284629.90999999997</v>
      </c>
      <c r="Q52" s="201"/>
      <c r="R52" s="201"/>
      <c r="S52" s="201"/>
      <c r="T52" s="201"/>
      <c r="U52" s="201"/>
      <c r="V52" s="201"/>
      <c r="W52" s="179"/>
      <c r="X52" s="201"/>
      <c r="Y52" s="410" t="b">
        <f t="shared" si="8"/>
        <v>1</v>
      </c>
      <c r="Z52" s="411">
        <f t="shared" si="9"/>
        <v>0.5</v>
      </c>
      <c r="AA52" s="412" t="b">
        <f t="shared" si="10"/>
        <v>1</v>
      </c>
      <c r="AB52" s="412" t="b">
        <f t="shared" si="11"/>
        <v>1</v>
      </c>
      <c r="AC52" s="505"/>
      <c r="AD52" s="505"/>
      <c r="AE52" s="445"/>
      <c r="AF52" s="505"/>
      <c r="AG52" s="537"/>
      <c r="AH52" s="537"/>
      <c r="AI52" s="537"/>
      <c r="AJ52" s="537"/>
    </row>
    <row r="53" spans="1:36" ht="31.5" thickTop="1" thickBot="1">
      <c r="A53" s="182">
        <v>51</v>
      </c>
      <c r="B53" s="416" t="s">
        <v>210</v>
      </c>
      <c r="C53" s="173" t="s">
        <v>67</v>
      </c>
      <c r="D53" s="368" t="s">
        <v>152</v>
      </c>
      <c r="E53" s="417">
        <v>2414011</v>
      </c>
      <c r="F53" s="183" t="s">
        <v>408</v>
      </c>
      <c r="G53" s="418" t="s">
        <v>258</v>
      </c>
      <c r="H53" s="172" t="s">
        <v>123</v>
      </c>
      <c r="I53" s="174">
        <v>0.40500000000000003</v>
      </c>
      <c r="J53" s="194" t="s">
        <v>432</v>
      </c>
      <c r="K53" s="201">
        <v>944242.53</v>
      </c>
      <c r="L53" s="175">
        <v>472121.26</v>
      </c>
      <c r="M53" s="176">
        <v>472121.27</v>
      </c>
      <c r="N53" s="419">
        <v>0.5</v>
      </c>
      <c r="O53" s="175">
        <v>0</v>
      </c>
      <c r="P53" s="175">
        <v>472121.26</v>
      </c>
      <c r="Q53" s="201"/>
      <c r="R53" s="201"/>
      <c r="S53" s="201"/>
      <c r="T53" s="201"/>
      <c r="U53" s="201"/>
      <c r="V53" s="201"/>
      <c r="W53" s="179"/>
      <c r="X53" s="201"/>
      <c r="Y53" s="410" t="b">
        <f t="shared" si="8"/>
        <v>1</v>
      </c>
      <c r="Z53" s="411">
        <f t="shared" si="9"/>
        <v>0.5</v>
      </c>
      <c r="AA53" s="412" t="b">
        <f t="shared" si="10"/>
        <v>1</v>
      </c>
      <c r="AB53" s="412" t="b">
        <f t="shared" si="11"/>
        <v>1</v>
      </c>
      <c r="AC53" s="505"/>
      <c r="AD53" s="505"/>
      <c r="AE53" s="445"/>
      <c r="AF53" s="505"/>
      <c r="AG53" s="537"/>
      <c r="AH53" s="537"/>
      <c r="AI53" s="537"/>
      <c r="AJ53" s="537"/>
    </row>
    <row r="54" spans="1:36" ht="61.5" thickTop="1" thickBot="1">
      <c r="A54" s="182">
        <v>52</v>
      </c>
      <c r="B54" s="416" t="s">
        <v>211</v>
      </c>
      <c r="C54" s="173" t="s">
        <v>67</v>
      </c>
      <c r="D54" s="368" t="s">
        <v>168</v>
      </c>
      <c r="E54" s="417">
        <v>2409032</v>
      </c>
      <c r="F54" s="183" t="s">
        <v>319</v>
      </c>
      <c r="G54" s="418" t="s">
        <v>259</v>
      </c>
      <c r="H54" s="172" t="s">
        <v>121</v>
      </c>
      <c r="I54" s="174">
        <v>0.39</v>
      </c>
      <c r="J54" s="526" t="s">
        <v>415</v>
      </c>
      <c r="K54" s="527">
        <v>573667.00999999989</v>
      </c>
      <c r="L54" s="492">
        <v>315516.86</v>
      </c>
      <c r="M54" s="176">
        <v>258150.15</v>
      </c>
      <c r="N54" s="419">
        <v>0.55000000000000004</v>
      </c>
      <c r="O54" s="175">
        <v>0</v>
      </c>
      <c r="P54" s="492">
        <v>315516.86</v>
      </c>
      <c r="Q54" s="201"/>
      <c r="R54" s="201"/>
      <c r="S54" s="201"/>
      <c r="T54" s="201"/>
      <c r="U54" s="201"/>
      <c r="V54" s="201"/>
      <c r="W54" s="179"/>
      <c r="X54" s="201"/>
      <c r="Y54" s="410" t="b">
        <f t="shared" si="8"/>
        <v>1</v>
      </c>
      <c r="Z54" s="411">
        <f t="shared" si="9"/>
        <v>0.55000000000000004</v>
      </c>
      <c r="AA54" s="412" t="b">
        <f t="shared" si="10"/>
        <v>1</v>
      </c>
      <c r="AB54" s="412" t="b">
        <f t="shared" si="11"/>
        <v>1</v>
      </c>
      <c r="AC54" s="505"/>
      <c r="AD54" s="505"/>
      <c r="AE54" s="445"/>
      <c r="AF54" s="505"/>
      <c r="AG54" s="537"/>
      <c r="AH54" s="537"/>
      <c r="AI54" s="537"/>
      <c r="AJ54" s="537"/>
    </row>
    <row r="55" spans="1:36" ht="31.5" thickTop="1" thickBot="1">
      <c r="A55" s="182">
        <v>53</v>
      </c>
      <c r="B55" s="416" t="s">
        <v>212</v>
      </c>
      <c r="C55" s="173" t="s">
        <v>67</v>
      </c>
      <c r="D55" s="368" t="s">
        <v>169</v>
      </c>
      <c r="E55" s="417">
        <v>2406042</v>
      </c>
      <c r="F55" s="183" t="s">
        <v>294</v>
      </c>
      <c r="G55" s="418" t="s">
        <v>260</v>
      </c>
      <c r="H55" s="172" t="s">
        <v>121</v>
      </c>
      <c r="I55" s="174">
        <v>0.438</v>
      </c>
      <c r="J55" s="194" t="s">
        <v>395</v>
      </c>
      <c r="K55" s="201">
        <v>741116.82</v>
      </c>
      <c r="L55" s="175">
        <v>407614.25</v>
      </c>
      <c r="M55" s="176">
        <f t="shared" si="15"/>
        <v>333502.56999999995</v>
      </c>
      <c r="N55" s="419">
        <v>0.55000000000000004</v>
      </c>
      <c r="O55" s="175">
        <v>0</v>
      </c>
      <c r="P55" s="175">
        <f>L55</f>
        <v>407614.25</v>
      </c>
      <c r="Q55" s="201"/>
      <c r="R55" s="201"/>
      <c r="S55" s="201"/>
      <c r="T55" s="201"/>
      <c r="U55" s="201"/>
      <c r="V55" s="201"/>
      <c r="W55" s="179"/>
      <c r="X55" s="201"/>
      <c r="Y55" s="410" t="b">
        <f t="shared" si="8"/>
        <v>1</v>
      </c>
      <c r="Z55" s="411">
        <f t="shared" si="9"/>
        <v>0.55000000000000004</v>
      </c>
      <c r="AA55" s="412" t="b">
        <f t="shared" si="10"/>
        <v>1</v>
      </c>
      <c r="AB55" s="412" t="b">
        <f t="shared" si="11"/>
        <v>1</v>
      </c>
      <c r="AC55" s="505"/>
      <c r="AD55" s="505"/>
      <c r="AE55" s="445"/>
      <c r="AF55" s="505"/>
      <c r="AG55" s="537"/>
      <c r="AH55" s="537"/>
      <c r="AI55" s="537"/>
      <c r="AJ55" s="537"/>
    </row>
    <row r="56" spans="1:36" ht="31.5" thickTop="1" thickBot="1">
      <c r="A56" s="182">
        <v>54</v>
      </c>
      <c r="B56" s="416" t="s">
        <v>213</v>
      </c>
      <c r="C56" s="173" t="s">
        <v>67</v>
      </c>
      <c r="D56" s="368" t="s">
        <v>145</v>
      </c>
      <c r="E56" s="417">
        <v>2406082</v>
      </c>
      <c r="F56" s="183" t="s">
        <v>294</v>
      </c>
      <c r="G56" s="418" t="s">
        <v>261</v>
      </c>
      <c r="H56" s="172" t="s">
        <v>123</v>
      </c>
      <c r="I56" s="174">
        <v>0.51400000000000001</v>
      </c>
      <c r="J56" s="194" t="s">
        <v>825</v>
      </c>
      <c r="K56" s="201">
        <f>L56+M56</f>
        <v>319564.52</v>
      </c>
      <c r="L56" s="175">
        <v>159782</v>
      </c>
      <c r="M56" s="176">
        <v>159782.51999999999</v>
      </c>
      <c r="N56" s="419">
        <v>0.5</v>
      </c>
      <c r="O56" s="175">
        <v>0</v>
      </c>
      <c r="P56" s="175">
        <v>159782</v>
      </c>
      <c r="Q56" s="201"/>
      <c r="R56" s="201"/>
      <c r="S56" s="201"/>
      <c r="T56" s="201"/>
      <c r="U56" s="201"/>
      <c r="V56" s="201"/>
      <c r="W56" s="179"/>
      <c r="X56" s="201"/>
      <c r="Y56" s="410" t="b">
        <f t="shared" si="8"/>
        <v>1</v>
      </c>
      <c r="Z56" s="411">
        <f t="shared" si="9"/>
        <v>0.5</v>
      </c>
      <c r="AA56" s="412" t="b">
        <f t="shared" si="10"/>
        <v>1</v>
      </c>
      <c r="AB56" s="412" t="b">
        <f t="shared" si="11"/>
        <v>1</v>
      </c>
      <c r="AC56" s="505"/>
      <c r="AD56" s="505"/>
      <c r="AE56" s="445"/>
      <c r="AF56" s="505"/>
      <c r="AG56" s="537"/>
      <c r="AH56" s="537"/>
      <c r="AI56" s="537"/>
      <c r="AJ56" s="537"/>
    </row>
    <row r="57" spans="1:36" ht="31.5" thickTop="1" thickBot="1">
      <c r="A57" s="182">
        <v>55</v>
      </c>
      <c r="B57" s="416" t="s">
        <v>214</v>
      </c>
      <c r="C57" s="173" t="s">
        <v>67</v>
      </c>
      <c r="D57" s="368" t="s">
        <v>157</v>
      </c>
      <c r="E57" s="417">
        <v>2406052</v>
      </c>
      <c r="F57" s="183" t="s">
        <v>294</v>
      </c>
      <c r="G57" s="418" t="s">
        <v>262</v>
      </c>
      <c r="H57" s="172" t="s">
        <v>123</v>
      </c>
      <c r="I57" s="174">
        <v>0.33500000000000002</v>
      </c>
      <c r="J57" s="194" t="s">
        <v>427</v>
      </c>
      <c r="K57" s="201">
        <v>189507.44</v>
      </c>
      <c r="L57" s="175">
        <v>132655.20000000001</v>
      </c>
      <c r="M57" s="176">
        <f t="shared" si="15"/>
        <v>56852.239999999991</v>
      </c>
      <c r="N57" s="419">
        <v>0.7</v>
      </c>
      <c r="O57" s="175">
        <v>0</v>
      </c>
      <c r="P57" s="175">
        <v>132655.20000000001</v>
      </c>
      <c r="Q57" s="201"/>
      <c r="R57" s="201"/>
      <c r="S57" s="201"/>
      <c r="T57" s="201"/>
      <c r="U57" s="201"/>
      <c r="V57" s="201"/>
      <c r="W57" s="179"/>
      <c r="X57" s="201"/>
      <c r="Y57" s="410" t="b">
        <f t="shared" si="8"/>
        <v>1</v>
      </c>
      <c r="Z57" s="411">
        <f t="shared" si="9"/>
        <v>0.7</v>
      </c>
      <c r="AA57" s="412" t="b">
        <f t="shared" si="10"/>
        <v>1</v>
      </c>
      <c r="AB57" s="412" t="b">
        <f t="shared" si="11"/>
        <v>1</v>
      </c>
      <c r="AC57" s="505"/>
      <c r="AD57" s="505"/>
      <c r="AE57" s="445"/>
      <c r="AF57" s="505"/>
      <c r="AG57" s="537"/>
      <c r="AH57" s="537"/>
      <c r="AI57" s="537"/>
      <c r="AJ57" s="537"/>
    </row>
    <row r="58" spans="1:36" ht="46.5" thickTop="1" thickBot="1">
      <c r="A58" s="182">
        <v>56</v>
      </c>
      <c r="B58" s="416" t="s">
        <v>215</v>
      </c>
      <c r="C58" s="173"/>
      <c r="D58" s="533" t="s">
        <v>837</v>
      </c>
      <c r="E58" s="417">
        <v>2407042</v>
      </c>
      <c r="F58" s="183" t="s">
        <v>407</v>
      </c>
      <c r="G58" s="418" t="s">
        <v>263</v>
      </c>
      <c r="H58" s="172" t="s">
        <v>123</v>
      </c>
      <c r="I58" s="174"/>
      <c r="J58" s="194"/>
      <c r="K58" s="201"/>
      <c r="L58" s="175"/>
      <c r="M58" s="176"/>
      <c r="N58" s="419"/>
      <c r="O58" s="175"/>
      <c r="P58" s="175"/>
      <c r="Q58" s="201"/>
      <c r="R58" s="201"/>
      <c r="S58" s="201"/>
      <c r="T58" s="201"/>
      <c r="U58" s="201"/>
      <c r="V58" s="201"/>
      <c r="W58" s="179"/>
      <c r="X58" s="201"/>
      <c r="Y58" s="410" t="b">
        <f t="shared" si="8"/>
        <v>1</v>
      </c>
      <c r="Z58" s="411" t="e">
        <f t="shared" si="9"/>
        <v>#DIV/0!</v>
      </c>
      <c r="AA58" s="412" t="e">
        <f t="shared" si="10"/>
        <v>#DIV/0!</v>
      </c>
      <c r="AB58" s="412" t="b">
        <f t="shared" si="11"/>
        <v>1</v>
      </c>
      <c r="AC58" s="505"/>
      <c r="AD58" s="505"/>
      <c r="AE58" s="445"/>
      <c r="AF58" s="505"/>
      <c r="AG58" s="537"/>
      <c r="AH58" s="537"/>
      <c r="AI58" s="537"/>
      <c r="AJ58" s="537"/>
    </row>
    <row r="59" spans="1:36" ht="46.5" thickTop="1" thickBot="1">
      <c r="A59" s="182">
        <v>57</v>
      </c>
      <c r="B59" s="427" t="s">
        <v>216</v>
      </c>
      <c r="C59" s="172"/>
      <c r="D59" s="533" t="s">
        <v>836</v>
      </c>
      <c r="E59" s="417">
        <v>2404152</v>
      </c>
      <c r="F59" s="183" t="s">
        <v>409</v>
      </c>
      <c r="G59" s="418" t="s">
        <v>264</v>
      </c>
      <c r="H59" s="172" t="s">
        <v>123</v>
      </c>
      <c r="I59" s="174"/>
      <c r="J59" s="194"/>
      <c r="K59" s="201"/>
      <c r="L59" s="175"/>
      <c r="M59" s="176"/>
      <c r="N59" s="419"/>
      <c r="O59" s="175"/>
      <c r="P59" s="175"/>
      <c r="Q59" s="201"/>
      <c r="R59" s="201"/>
      <c r="S59" s="201"/>
      <c r="T59" s="201"/>
      <c r="U59" s="201"/>
      <c r="V59" s="201"/>
      <c r="W59" s="179"/>
      <c r="X59" s="201"/>
      <c r="Y59" s="410" t="b">
        <f t="shared" si="8"/>
        <v>1</v>
      </c>
      <c r="Z59" s="411" t="e">
        <f t="shared" si="9"/>
        <v>#DIV/0!</v>
      </c>
      <c r="AA59" s="412" t="e">
        <f t="shared" si="10"/>
        <v>#DIV/0!</v>
      </c>
      <c r="AB59" s="412" t="b">
        <f t="shared" si="11"/>
        <v>1</v>
      </c>
      <c r="AC59" s="505"/>
      <c r="AD59" s="505"/>
      <c r="AE59" s="445"/>
      <c r="AF59" s="505"/>
      <c r="AG59" s="537"/>
      <c r="AH59" s="537"/>
      <c r="AI59" s="537"/>
      <c r="AJ59" s="537"/>
    </row>
    <row r="60" spans="1:36" ht="31.5" thickTop="1" thickBot="1">
      <c r="A60" s="182">
        <v>58</v>
      </c>
      <c r="B60" s="416" t="s">
        <v>217</v>
      </c>
      <c r="C60" s="173" t="s">
        <v>67</v>
      </c>
      <c r="D60" s="368" t="s">
        <v>143</v>
      </c>
      <c r="E60" s="417">
        <v>2406062</v>
      </c>
      <c r="F60" s="183" t="s">
        <v>294</v>
      </c>
      <c r="G60" s="418" t="s">
        <v>265</v>
      </c>
      <c r="H60" s="172" t="s">
        <v>123</v>
      </c>
      <c r="I60" s="174">
        <v>1.405</v>
      </c>
      <c r="J60" s="194" t="s">
        <v>419</v>
      </c>
      <c r="K60" s="201">
        <v>2515500</v>
      </c>
      <c r="L60" s="175">
        <v>1257750</v>
      </c>
      <c r="M60" s="176">
        <v>1257750</v>
      </c>
      <c r="N60" s="419">
        <v>0.5</v>
      </c>
      <c r="O60" s="175">
        <v>0</v>
      </c>
      <c r="P60" s="175">
        <v>1257750</v>
      </c>
      <c r="Q60" s="201"/>
      <c r="R60" s="201"/>
      <c r="S60" s="201"/>
      <c r="T60" s="201"/>
      <c r="U60" s="201"/>
      <c r="V60" s="201"/>
      <c r="W60" s="179"/>
      <c r="X60" s="201"/>
      <c r="Y60" s="410" t="b">
        <f t="shared" si="8"/>
        <v>1</v>
      </c>
      <c r="Z60" s="411">
        <f t="shared" si="9"/>
        <v>0.5</v>
      </c>
      <c r="AA60" s="412" t="b">
        <f t="shared" si="10"/>
        <v>1</v>
      </c>
      <c r="AB60" s="412" t="b">
        <f t="shared" si="11"/>
        <v>1</v>
      </c>
      <c r="AC60" s="505"/>
      <c r="AD60" s="505"/>
      <c r="AE60" s="445"/>
      <c r="AF60" s="505"/>
      <c r="AG60" s="537"/>
      <c r="AH60" s="537"/>
      <c r="AI60" s="537"/>
      <c r="AJ60" s="537"/>
    </row>
    <row r="61" spans="1:36" ht="31.5" thickTop="1" thickBot="1">
      <c r="A61" s="182">
        <v>59</v>
      </c>
      <c r="B61" s="416" t="s">
        <v>218</v>
      </c>
      <c r="C61" s="173" t="s">
        <v>67</v>
      </c>
      <c r="D61" s="368" t="s">
        <v>170</v>
      </c>
      <c r="E61" s="417">
        <v>2412052</v>
      </c>
      <c r="F61" s="183" t="s">
        <v>325</v>
      </c>
      <c r="G61" s="418" t="s">
        <v>266</v>
      </c>
      <c r="H61" s="172" t="s">
        <v>123</v>
      </c>
      <c r="I61" s="174">
        <v>0.40799999999999997</v>
      </c>
      <c r="J61" s="194" t="s">
        <v>402</v>
      </c>
      <c r="K61" s="201">
        <v>426458.15</v>
      </c>
      <c r="L61" s="175">
        <v>213229.07</v>
      </c>
      <c r="M61" s="176">
        <v>213229.08</v>
      </c>
      <c r="N61" s="419">
        <f>L61/K61</f>
        <v>0.49999998827552011</v>
      </c>
      <c r="O61" s="175">
        <v>0</v>
      </c>
      <c r="P61" s="175">
        <f>L61</f>
        <v>213229.07</v>
      </c>
      <c r="Q61" s="201"/>
      <c r="R61" s="201"/>
      <c r="S61" s="201"/>
      <c r="T61" s="201"/>
      <c r="U61" s="201"/>
      <c r="V61" s="201"/>
      <c r="W61" s="179"/>
      <c r="X61" s="201"/>
      <c r="Y61" s="410" t="b">
        <f t="shared" si="8"/>
        <v>1</v>
      </c>
      <c r="Z61" s="411">
        <f t="shared" si="9"/>
        <v>0.5</v>
      </c>
      <c r="AA61" s="412" t="b">
        <f t="shared" si="10"/>
        <v>0</v>
      </c>
      <c r="AB61" s="412" t="b">
        <f t="shared" si="11"/>
        <v>1</v>
      </c>
      <c r="AC61" s="505"/>
      <c r="AD61" s="505"/>
      <c r="AE61" s="445"/>
      <c r="AF61" s="505"/>
      <c r="AG61" s="537"/>
      <c r="AH61" s="537"/>
      <c r="AI61" s="537"/>
      <c r="AJ61" s="537"/>
    </row>
    <row r="62" spans="1:36" ht="31.5" thickTop="1" thickBot="1">
      <c r="A62" s="182">
        <v>60</v>
      </c>
      <c r="B62" s="416" t="s">
        <v>219</v>
      </c>
      <c r="C62" s="173" t="s">
        <v>67</v>
      </c>
      <c r="D62" s="368" t="s">
        <v>80</v>
      </c>
      <c r="E62" s="524">
        <v>2470011</v>
      </c>
      <c r="F62" s="183" t="s">
        <v>411</v>
      </c>
      <c r="G62" s="418" t="s">
        <v>267</v>
      </c>
      <c r="H62" s="172" t="s">
        <v>123</v>
      </c>
      <c r="I62" s="174">
        <v>0.34100000000000003</v>
      </c>
      <c r="J62" s="194" t="s">
        <v>431</v>
      </c>
      <c r="K62" s="201">
        <f>L62+M62</f>
        <v>1649681.1400000001</v>
      </c>
      <c r="L62" s="175">
        <v>1237260.3700000001</v>
      </c>
      <c r="M62" s="176">
        <v>412420.77</v>
      </c>
      <c r="N62" s="419">
        <f>L62/K62</f>
        <v>0.74999970600379173</v>
      </c>
      <c r="O62" s="175">
        <v>0</v>
      </c>
      <c r="P62" s="175">
        <f>L62</f>
        <v>1237260.3700000001</v>
      </c>
      <c r="Q62" s="201"/>
      <c r="R62" s="201"/>
      <c r="S62" s="201"/>
      <c r="T62" s="201"/>
      <c r="U62" s="201"/>
      <c r="V62" s="201"/>
      <c r="W62" s="179"/>
      <c r="X62" s="201"/>
      <c r="Y62" s="410" t="b">
        <f t="shared" si="8"/>
        <v>1</v>
      </c>
      <c r="Z62" s="411">
        <f t="shared" si="9"/>
        <v>0.75</v>
      </c>
      <c r="AA62" s="412" t="b">
        <f t="shared" si="10"/>
        <v>0</v>
      </c>
      <c r="AB62" s="412" t="b">
        <f t="shared" si="11"/>
        <v>1</v>
      </c>
      <c r="AC62" s="505"/>
      <c r="AD62" s="505"/>
      <c r="AE62" s="445"/>
      <c r="AF62" s="505"/>
      <c r="AG62" s="537"/>
      <c r="AH62" s="537"/>
      <c r="AI62" s="537"/>
      <c r="AJ62" s="537"/>
    </row>
    <row r="63" spans="1:36" ht="46.5" thickTop="1" thickBot="1">
      <c r="A63" s="182">
        <v>61</v>
      </c>
      <c r="B63" s="416" t="s">
        <v>220</v>
      </c>
      <c r="C63" s="173" t="s">
        <v>67</v>
      </c>
      <c r="D63" s="368" t="s">
        <v>171</v>
      </c>
      <c r="E63" s="417">
        <v>2401031</v>
      </c>
      <c r="F63" s="183" t="s">
        <v>332</v>
      </c>
      <c r="G63" s="418" t="s">
        <v>268</v>
      </c>
      <c r="H63" s="172" t="s">
        <v>123</v>
      </c>
      <c r="I63" s="174">
        <v>0.69399999999999995</v>
      </c>
      <c r="J63" s="194" t="s">
        <v>804</v>
      </c>
      <c r="K63" s="201">
        <v>1961185.03</v>
      </c>
      <c r="L63" s="175">
        <v>980592.51</v>
      </c>
      <c r="M63" s="176">
        <f t="shared" si="15"/>
        <v>980592.52</v>
      </c>
      <c r="N63" s="419">
        <f>L63/K63</f>
        <v>0.49999999745052104</v>
      </c>
      <c r="O63" s="175">
        <v>0</v>
      </c>
      <c r="P63" s="175">
        <v>980592.51</v>
      </c>
      <c r="Q63" s="201"/>
      <c r="R63" s="201"/>
      <c r="S63" s="201"/>
      <c r="T63" s="201"/>
      <c r="U63" s="201"/>
      <c r="V63" s="201"/>
      <c r="W63" s="179"/>
      <c r="X63" s="201"/>
      <c r="Y63" s="410" t="b">
        <f t="shared" si="8"/>
        <v>1</v>
      </c>
      <c r="Z63" s="411">
        <f t="shared" si="9"/>
        <v>0.5</v>
      </c>
      <c r="AA63" s="412" t="b">
        <f t="shared" si="10"/>
        <v>0</v>
      </c>
      <c r="AB63" s="412" t="b">
        <f t="shared" si="11"/>
        <v>1</v>
      </c>
      <c r="AC63" s="505"/>
      <c r="AD63" s="505"/>
      <c r="AE63" s="445"/>
      <c r="AF63" s="505"/>
      <c r="AG63" s="537"/>
      <c r="AH63" s="537"/>
      <c r="AI63" s="537"/>
      <c r="AJ63" s="537"/>
    </row>
    <row r="64" spans="1:36" ht="31.5" thickTop="1" thickBot="1">
      <c r="A64" s="182">
        <v>62</v>
      </c>
      <c r="B64" s="416" t="s">
        <v>221</v>
      </c>
      <c r="C64" s="173" t="s">
        <v>67</v>
      </c>
      <c r="D64" s="368" t="s">
        <v>172</v>
      </c>
      <c r="E64" s="417">
        <v>2408031</v>
      </c>
      <c r="F64" s="183" t="s">
        <v>291</v>
      </c>
      <c r="G64" s="418" t="s">
        <v>269</v>
      </c>
      <c r="H64" s="172" t="s">
        <v>123</v>
      </c>
      <c r="I64" s="174">
        <v>0.21</v>
      </c>
      <c r="J64" s="194" t="s">
        <v>824</v>
      </c>
      <c r="K64" s="201">
        <f>L64+M64</f>
        <v>154126.76</v>
      </c>
      <c r="L64" s="175">
        <v>77062</v>
      </c>
      <c r="M64" s="176">
        <v>77064.759999999995</v>
      </c>
      <c r="N64" s="419">
        <f>L64/K64</f>
        <v>0.49999104633095509</v>
      </c>
      <c r="O64" s="175">
        <v>0</v>
      </c>
      <c r="P64" s="175">
        <v>77062</v>
      </c>
      <c r="Q64" s="201"/>
      <c r="R64" s="201"/>
      <c r="S64" s="201"/>
      <c r="T64" s="201"/>
      <c r="U64" s="201"/>
      <c r="V64" s="201"/>
      <c r="W64" s="179"/>
      <c r="X64" s="201"/>
      <c r="Y64" s="410" t="b">
        <f t="shared" si="8"/>
        <v>1</v>
      </c>
      <c r="Z64" s="411">
        <f t="shared" si="9"/>
        <v>0.5</v>
      </c>
      <c r="AA64" s="412" t="b">
        <f t="shared" si="10"/>
        <v>0</v>
      </c>
      <c r="AB64" s="412" t="b">
        <f t="shared" si="11"/>
        <v>1</v>
      </c>
      <c r="AC64" s="505"/>
      <c r="AD64" s="505"/>
      <c r="AE64" s="445"/>
      <c r="AF64" s="505"/>
      <c r="AG64" s="537"/>
      <c r="AH64" s="537"/>
      <c r="AI64" s="537"/>
      <c r="AJ64" s="537"/>
    </row>
    <row r="65" spans="1:36" ht="48" customHeight="1" thickTop="1" thickBot="1">
      <c r="A65" s="182">
        <v>63</v>
      </c>
      <c r="B65" s="416" t="s">
        <v>222</v>
      </c>
      <c r="C65" s="173" t="s">
        <v>67</v>
      </c>
      <c r="D65" s="368" t="s">
        <v>173</v>
      </c>
      <c r="E65" s="417">
        <v>2404132</v>
      </c>
      <c r="F65" s="183" t="s">
        <v>409</v>
      </c>
      <c r="G65" s="418" t="s">
        <v>270</v>
      </c>
      <c r="H65" s="172" t="s">
        <v>123</v>
      </c>
      <c r="I65" s="174">
        <v>0.39600000000000002</v>
      </c>
      <c r="J65" s="194" t="s">
        <v>879</v>
      </c>
      <c r="K65" s="201">
        <f>L65+M65</f>
        <v>129604.8</v>
      </c>
      <c r="L65" s="175">
        <v>64802.400000000001</v>
      </c>
      <c r="M65" s="175">
        <v>64802.400000000001</v>
      </c>
      <c r="N65" s="419">
        <v>0.5</v>
      </c>
      <c r="O65" s="175">
        <v>0</v>
      </c>
      <c r="P65" s="175">
        <v>64802.400000000001</v>
      </c>
      <c r="Q65" s="201"/>
      <c r="R65" s="201"/>
      <c r="S65" s="201"/>
      <c r="T65" s="201"/>
      <c r="U65" s="201"/>
      <c r="V65" s="201"/>
      <c r="W65" s="179"/>
      <c r="X65" s="201"/>
      <c r="Y65" s="410" t="b">
        <f t="shared" si="8"/>
        <v>1</v>
      </c>
      <c r="Z65" s="411">
        <f t="shared" si="9"/>
        <v>0.5</v>
      </c>
      <c r="AA65" s="412" t="b">
        <f t="shared" si="10"/>
        <v>1</v>
      </c>
      <c r="AB65" s="412" t="b">
        <f t="shared" si="11"/>
        <v>1</v>
      </c>
      <c r="AC65" s="505"/>
      <c r="AD65" s="505"/>
      <c r="AE65" s="445"/>
      <c r="AF65" s="505"/>
      <c r="AG65" s="537"/>
      <c r="AH65" s="537"/>
      <c r="AI65" s="537"/>
      <c r="AJ65" s="537"/>
    </row>
    <row r="66" spans="1:36" ht="46.5" thickTop="1" thickBot="1">
      <c r="A66" s="182">
        <v>64</v>
      </c>
      <c r="B66" s="416" t="s">
        <v>223</v>
      </c>
      <c r="C66" s="173" t="s">
        <v>67</v>
      </c>
      <c r="D66" s="368" t="s">
        <v>174</v>
      </c>
      <c r="E66" s="417">
        <v>2416063</v>
      </c>
      <c r="F66" s="183" t="s">
        <v>308</v>
      </c>
      <c r="G66" s="418" t="s">
        <v>271</v>
      </c>
      <c r="H66" s="172" t="s">
        <v>123</v>
      </c>
      <c r="I66" s="174">
        <v>0.72699999999999998</v>
      </c>
      <c r="J66" s="194" t="s">
        <v>853</v>
      </c>
      <c r="K66" s="201">
        <f>L66+M66</f>
        <v>1406199.5</v>
      </c>
      <c r="L66" s="201">
        <v>1054649.6200000001</v>
      </c>
      <c r="M66" s="176">
        <v>351549.88</v>
      </c>
      <c r="N66" s="419">
        <f>L66/K66</f>
        <v>0.74999999644431681</v>
      </c>
      <c r="O66" s="175">
        <v>0</v>
      </c>
      <c r="P66" s="175">
        <f>L66</f>
        <v>1054649.6200000001</v>
      </c>
      <c r="Q66" s="201"/>
      <c r="R66" s="201"/>
      <c r="S66" s="201"/>
      <c r="T66" s="201"/>
      <c r="U66" s="201"/>
      <c r="V66" s="201"/>
      <c r="W66" s="179"/>
      <c r="X66" s="201"/>
      <c r="Y66" s="410" t="b">
        <f t="shared" si="8"/>
        <v>1</v>
      </c>
      <c r="Z66" s="411">
        <f t="shared" si="9"/>
        <v>0.75</v>
      </c>
      <c r="AA66" s="412" t="b">
        <f t="shared" si="10"/>
        <v>0</v>
      </c>
      <c r="AB66" s="412" t="b">
        <f t="shared" si="11"/>
        <v>1</v>
      </c>
      <c r="AC66" s="505"/>
      <c r="AD66" s="505"/>
      <c r="AE66" s="445"/>
      <c r="AF66" s="505"/>
      <c r="AG66" s="537"/>
      <c r="AH66" s="537"/>
      <c r="AI66" s="537"/>
      <c r="AJ66" s="537"/>
    </row>
    <row r="67" spans="1:36" ht="31.5" thickTop="1" thickBot="1">
      <c r="A67" s="182">
        <v>65</v>
      </c>
      <c r="B67" s="416" t="s">
        <v>224</v>
      </c>
      <c r="C67" s="173" t="s">
        <v>67</v>
      </c>
      <c r="D67" s="368" t="s">
        <v>175</v>
      </c>
      <c r="E67" s="417">
        <v>2407011</v>
      </c>
      <c r="F67" s="183" t="s">
        <v>407</v>
      </c>
      <c r="G67" s="418" t="s">
        <v>272</v>
      </c>
      <c r="H67" s="172" t="s">
        <v>123</v>
      </c>
      <c r="I67" s="174">
        <v>1.3560000000000001</v>
      </c>
      <c r="J67" s="194" t="s">
        <v>819</v>
      </c>
      <c r="K67" s="201">
        <f>L67+M67</f>
        <v>3175367.95</v>
      </c>
      <c r="L67" s="554">
        <v>1587683</v>
      </c>
      <c r="M67" s="555">
        <v>1587684.95</v>
      </c>
      <c r="N67" s="419">
        <f>L67/K67</f>
        <v>0.49999969294896984</v>
      </c>
      <c r="O67" s="175">
        <v>0</v>
      </c>
      <c r="P67" s="554">
        <v>1587683</v>
      </c>
      <c r="Q67" s="201"/>
      <c r="R67" s="201"/>
      <c r="S67" s="201"/>
      <c r="T67" s="201"/>
      <c r="U67" s="201"/>
      <c r="V67" s="201"/>
      <c r="W67" s="179"/>
      <c r="X67" s="201"/>
      <c r="Y67" s="410" t="b">
        <f t="shared" si="8"/>
        <v>1</v>
      </c>
      <c r="Z67" s="411">
        <f t="shared" si="9"/>
        <v>0.5</v>
      </c>
      <c r="AA67" s="412" t="b">
        <f t="shared" si="10"/>
        <v>0</v>
      </c>
      <c r="AB67" s="412" t="b">
        <f t="shared" si="11"/>
        <v>1</v>
      </c>
      <c r="AC67" s="505"/>
      <c r="AD67" s="505"/>
      <c r="AE67" s="445"/>
      <c r="AF67" s="505"/>
      <c r="AG67" s="537"/>
      <c r="AH67" s="537"/>
      <c r="AI67" s="537"/>
      <c r="AJ67" s="537"/>
    </row>
    <row r="68" spans="1:36" s="422" customFormat="1" ht="31.5" thickTop="1" thickBot="1">
      <c r="A68" s="182">
        <v>66</v>
      </c>
      <c r="B68" s="420" t="s">
        <v>790</v>
      </c>
      <c r="C68" s="185" t="s">
        <v>66</v>
      </c>
      <c r="D68" s="193" t="s">
        <v>777</v>
      </c>
      <c r="E68" s="528" t="s">
        <v>533</v>
      </c>
      <c r="F68" s="186" t="s">
        <v>294</v>
      </c>
      <c r="G68" s="367" t="s">
        <v>781</v>
      </c>
      <c r="H68" s="187" t="s">
        <v>123</v>
      </c>
      <c r="I68" s="188">
        <v>1.7849999999999999</v>
      </c>
      <c r="J68" s="196" t="s">
        <v>821</v>
      </c>
      <c r="K68" s="202">
        <v>3448536.32</v>
      </c>
      <c r="L68" s="180">
        <v>1724268.16</v>
      </c>
      <c r="M68" s="171">
        <v>1724268.16</v>
      </c>
      <c r="N68" s="428">
        <v>0.5</v>
      </c>
      <c r="O68" s="170">
        <v>0</v>
      </c>
      <c r="P68" s="180">
        <v>844057.5</v>
      </c>
      <c r="Q68" s="202">
        <v>880210.66</v>
      </c>
      <c r="R68" s="179"/>
      <c r="S68" s="179"/>
      <c r="T68" s="179"/>
      <c r="U68" s="179"/>
      <c r="V68" s="179"/>
      <c r="W68" s="179"/>
      <c r="X68" s="179"/>
      <c r="Y68" s="410" t="b">
        <f t="shared" ref="Y68:Y76" si="16">L68=SUM(O68:X68)</f>
        <v>1</v>
      </c>
      <c r="Z68" s="411">
        <f t="shared" ref="Z68:Z76" si="17">ROUND(L68/K68,4)</f>
        <v>0.5</v>
      </c>
      <c r="AA68" s="412" t="b">
        <f t="shared" ref="AA68:AA76" si="18">Z68=N68</f>
        <v>1</v>
      </c>
      <c r="AB68" s="412" t="b">
        <f t="shared" ref="AB68:AB76" si="19">K68=L68+M68</f>
        <v>1</v>
      </c>
      <c r="AC68" s="505"/>
      <c r="AD68" s="505"/>
      <c r="AE68" s="506"/>
      <c r="AF68" s="505"/>
      <c r="AG68" s="537"/>
      <c r="AH68" s="537"/>
      <c r="AI68" s="537"/>
      <c r="AJ68" s="537"/>
    </row>
    <row r="69" spans="1:36" ht="31.5" thickTop="1" thickBot="1">
      <c r="A69" s="182">
        <v>67</v>
      </c>
      <c r="B69" s="416" t="s">
        <v>349</v>
      </c>
      <c r="C69" s="332" t="s">
        <v>67</v>
      </c>
      <c r="D69" s="368" t="s">
        <v>351</v>
      </c>
      <c r="E69" s="529">
        <v>2479011</v>
      </c>
      <c r="F69" s="333" t="s">
        <v>414</v>
      </c>
      <c r="G69" s="465" t="s">
        <v>358</v>
      </c>
      <c r="H69" s="334" t="s">
        <v>123</v>
      </c>
      <c r="I69" s="335">
        <v>2.7879999999999998</v>
      </c>
      <c r="J69" s="336" t="s">
        <v>842</v>
      </c>
      <c r="K69" s="337">
        <f>2496604.68+832201.57</f>
        <v>3328806.25</v>
      </c>
      <c r="L69" s="338">
        <v>2496604.6800000002</v>
      </c>
      <c r="M69" s="176">
        <v>832201.57</v>
      </c>
      <c r="N69" s="429">
        <v>0.75</v>
      </c>
      <c r="O69" s="175">
        <v>0</v>
      </c>
      <c r="P69" s="338">
        <v>2496604.6800000002</v>
      </c>
      <c r="Q69" s="337"/>
      <c r="R69" s="201"/>
      <c r="S69" s="201"/>
      <c r="T69" s="201"/>
      <c r="U69" s="201"/>
      <c r="V69" s="201"/>
      <c r="W69" s="179"/>
      <c r="X69" s="201"/>
      <c r="Y69" s="410" t="b">
        <f t="shared" si="16"/>
        <v>1</v>
      </c>
      <c r="Z69" s="411">
        <f t="shared" si="17"/>
        <v>0.75</v>
      </c>
      <c r="AA69" s="412" t="b">
        <f t="shared" si="18"/>
        <v>1</v>
      </c>
      <c r="AB69" s="412" t="b">
        <f t="shared" si="19"/>
        <v>1</v>
      </c>
      <c r="AC69" s="505"/>
      <c r="AD69" s="505"/>
      <c r="AE69" s="445"/>
      <c r="AF69" s="505"/>
      <c r="AG69" s="537"/>
      <c r="AH69" s="537"/>
      <c r="AI69" s="537"/>
      <c r="AJ69" s="537"/>
    </row>
    <row r="70" spans="1:36" ht="31.5" thickTop="1" thickBot="1">
      <c r="A70" s="182">
        <v>68</v>
      </c>
      <c r="B70" s="416" t="s">
        <v>181</v>
      </c>
      <c r="C70" s="332" t="s">
        <v>67</v>
      </c>
      <c r="D70" s="368" t="s">
        <v>142</v>
      </c>
      <c r="E70" s="530">
        <v>2403092</v>
      </c>
      <c r="F70" s="333" t="s">
        <v>405</v>
      </c>
      <c r="G70" s="339" t="s">
        <v>230</v>
      </c>
      <c r="H70" s="334" t="s">
        <v>121</v>
      </c>
      <c r="I70" s="335">
        <v>0.84799999999999998</v>
      </c>
      <c r="J70" s="336" t="s">
        <v>431</v>
      </c>
      <c r="K70" s="337">
        <f>SUM(L70+M70)</f>
        <v>7201230.2000000002</v>
      </c>
      <c r="L70" s="338">
        <v>5400922.6500000004</v>
      </c>
      <c r="M70" s="176">
        <v>1800307.55</v>
      </c>
      <c r="N70" s="429">
        <v>0.75</v>
      </c>
      <c r="O70" s="175">
        <v>0</v>
      </c>
      <c r="P70" s="338">
        <v>5400922.6500000004</v>
      </c>
      <c r="Q70" s="337"/>
      <c r="R70" s="201"/>
      <c r="S70" s="201"/>
      <c r="T70" s="201"/>
      <c r="U70" s="201"/>
      <c r="V70" s="201"/>
      <c r="W70" s="179"/>
      <c r="X70" s="201"/>
      <c r="Y70" s="410" t="b">
        <f t="shared" si="16"/>
        <v>1</v>
      </c>
      <c r="Z70" s="411">
        <f t="shared" si="17"/>
        <v>0.75</v>
      </c>
      <c r="AA70" s="412" t="b">
        <f t="shared" si="18"/>
        <v>1</v>
      </c>
      <c r="AB70" s="412" t="b">
        <f t="shared" si="19"/>
        <v>1</v>
      </c>
      <c r="AC70" s="505"/>
      <c r="AD70" s="505"/>
      <c r="AE70" s="445"/>
      <c r="AF70" s="505"/>
      <c r="AG70" s="537"/>
      <c r="AH70" s="537"/>
      <c r="AI70" s="537"/>
      <c r="AJ70" s="537"/>
    </row>
    <row r="71" spans="1:36" ht="61.5" thickTop="1" thickBot="1">
      <c r="A71" s="181">
        <v>69</v>
      </c>
      <c r="B71" s="430" t="s">
        <v>340</v>
      </c>
      <c r="C71" s="185" t="s">
        <v>66</v>
      </c>
      <c r="D71" s="365" t="s">
        <v>102</v>
      </c>
      <c r="E71" s="528">
        <v>2478011</v>
      </c>
      <c r="F71" s="186" t="s">
        <v>342</v>
      </c>
      <c r="G71" s="431" t="s">
        <v>341</v>
      </c>
      <c r="H71" s="187" t="s">
        <v>121</v>
      </c>
      <c r="I71" s="188">
        <v>0.85099999999999998</v>
      </c>
      <c r="J71" s="196" t="s">
        <v>832</v>
      </c>
      <c r="K71" s="202">
        <v>4512936.49</v>
      </c>
      <c r="L71" s="180">
        <f>P71+Q71</f>
        <v>2256468</v>
      </c>
      <c r="M71" s="171">
        <f>K71-L71</f>
        <v>2256468.4900000002</v>
      </c>
      <c r="N71" s="428">
        <f>L71/K71</f>
        <v>0.49999994571162243</v>
      </c>
      <c r="O71" s="170">
        <v>0</v>
      </c>
      <c r="P71" s="180">
        <v>1203060.5</v>
      </c>
      <c r="Q71" s="202">
        <v>1053407.5</v>
      </c>
      <c r="R71" s="201"/>
      <c r="S71" s="201"/>
      <c r="T71" s="201"/>
      <c r="U71" s="201"/>
      <c r="V71" s="201"/>
      <c r="W71" s="179"/>
      <c r="X71" s="201"/>
      <c r="Y71" s="410" t="b">
        <f t="shared" si="16"/>
        <v>1</v>
      </c>
      <c r="Z71" s="411">
        <f t="shared" si="17"/>
        <v>0.5</v>
      </c>
      <c r="AA71" s="412" t="b">
        <f t="shared" si="18"/>
        <v>0</v>
      </c>
      <c r="AB71" s="412" t="b">
        <f t="shared" si="19"/>
        <v>1</v>
      </c>
      <c r="AC71" s="505"/>
      <c r="AD71" s="505"/>
      <c r="AE71" s="445"/>
      <c r="AF71" s="505"/>
      <c r="AG71" s="537"/>
      <c r="AH71" s="537"/>
      <c r="AI71" s="537"/>
      <c r="AJ71" s="537"/>
    </row>
    <row r="72" spans="1:36" ht="39.75" thickTop="1" thickBot="1">
      <c r="A72" s="368">
        <v>70</v>
      </c>
      <c r="B72" s="361" t="s">
        <v>344</v>
      </c>
      <c r="C72" s="362" t="s">
        <v>67</v>
      </c>
      <c r="D72" s="363" t="s">
        <v>839</v>
      </c>
      <c r="E72" s="494">
        <v>2410012</v>
      </c>
      <c r="F72" s="363" t="s">
        <v>412</v>
      </c>
      <c r="G72" s="364" t="s">
        <v>354</v>
      </c>
      <c r="H72" s="363" t="s">
        <v>121</v>
      </c>
      <c r="I72" s="369">
        <v>0.26300000000000001</v>
      </c>
      <c r="J72" s="370" t="s">
        <v>844</v>
      </c>
      <c r="K72" s="477">
        <v>1520866.5</v>
      </c>
      <c r="L72" s="371">
        <f>ROUND(K72*N72,2)</f>
        <v>760433.25</v>
      </c>
      <c r="M72" s="478">
        <f t="shared" ref="M72" si="20">K72-L72</f>
        <v>760433.25</v>
      </c>
      <c r="N72" s="372">
        <v>0.5</v>
      </c>
      <c r="O72" s="371">
        <v>0</v>
      </c>
      <c r="P72" s="371">
        <v>760433.25</v>
      </c>
      <c r="Q72" s="373"/>
      <c r="R72" s="374"/>
      <c r="S72" s="374"/>
      <c r="T72" s="201"/>
      <c r="U72" s="201"/>
      <c r="V72" s="201"/>
      <c r="W72" s="179"/>
      <c r="X72" s="201"/>
      <c r="Y72" s="410" t="b">
        <f t="shared" si="16"/>
        <v>1</v>
      </c>
      <c r="Z72" s="411">
        <f t="shared" si="17"/>
        <v>0.5</v>
      </c>
      <c r="AA72" s="412" t="b">
        <f t="shared" si="18"/>
        <v>1</v>
      </c>
      <c r="AB72" s="412" t="b">
        <f t="shared" si="19"/>
        <v>1</v>
      </c>
      <c r="AC72" s="505"/>
      <c r="AD72" s="505"/>
      <c r="AE72" s="445"/>
      <c r="AF72" s="505"/>
      <c r="AG72" s="537"/>
      <c r="AH72" s="537"/>
      <c r="AI72" s="537"/>
      <c r="AJ72" s="537"/>
    </row>
    <row r="73" spans="1:36" ht="39.75" thickTop="1" thickBot="1">
      <c r="A73" s="365">
        <v>71</v>
      </c>
      <c r="B73" s="365" t="s">
        <v>347</v>
      </c>
      <c r="C73" s="366" t="s">
        <v>66</v>
      </c>
      <c r="D73" s="193" t="s">
        <v>840</v>
      </c>
      <c r="E73" s="432">
        <v>2408021</v>
      </c>
      <c r="F73" s="193" t="s">
        <v>291</v>
      </c>
      <c r="G73" s="367" t="s">
        <v>814</v>
      </c>
      <c r="H73" s="193" t="s">
        <v>123</v>
      </c>
      <c r="I73" s="375">
        <v>9.9000000000000005E-2</v>
      </c>
      <c r="J73" s="376" t="s">
        <v>430</v>
      </c>
      <c r="K73" s="377">
        <v>2707906</v>
      </c>
      <c r="L73" s="378">
        <f t="shared" ref="L73" si="21">ROUND(K73*N73,2)</f>
        <v>1353953</v>
      </c>
      <c r="M73" s="379">
        <f t="shared" ref="M73" si="22">K73-L73</f>
        <v>1353953</v>
      </c>
      <c r="N73" s="380">
        <v>0.5</v>
      </c>
      <c r="O73" s="378">
        <v>0</v>
      </c>
      <c r="P73" s="378">
        <v>150000</v>
      </c>
      <c r="Q73" s="381">
        <v>600000</v>
      </c>
      <c r="R73" s="381">
        <v>603953</v>
      </c>
      <c r="S73" s="374"/>
      <c r="T73" s="201"/>
      <c r="U73" s="201"/>
      <c r="V73" s="201"/>
      <c r="W73" s="179"/>
      <c r="X73" s="201"/>
      <c r="Y73" s="410" t="b">
        <f t="shared" si="16"/>
        <v>1</v>
      </c>
      <c r="Z73" s="411">
        <f t="shared" si="17"/>
        <v>0.5</v>
      </c>
      <c r="AA73" s="412" t="b">
        <f t="shared" si="18"/>
        <v>1</v>
      </c>
      <c r="AB73" s="412" t="b">
        <f t="shared" si="19"/>
        <v>1</v>
      </c>
      <c r="AC73" s="505"/>
      <c r="AD73" s="505"/>
      <c r="AE73" s="445"/>
      <c r="AF73" s="505"/>
      <c r="AG73" s="537"/>
      <c r="AH73" s="537"/>
      <c r="AI73" s="537"/>
      <c r="AJ73" s="537"/>
    </row>
    <row r="74" spans="1:36" s="475" customFormat="1" ht="39.75" thickTop="1" thickBot="1">
      <c r="A74" s="472">
        <v>72</v>
      </c>
      <c r="B74" s="472" t="s">
        <v>348</v>
      </c>
      <c r="C74" s="366"/>
      <c r="D74" s="483" t="s">
        <v>843</v>
      </c>
      <c r="E74" s="484">
        <v>2473011</v>
      </c>
      <c r="F74" s="483" t="s">
        <v>413</v>
      </c>
      <c r="G74" s="485" t="s">
        <v>357</v>
      </c>
      <c r="H74" s="483" t="s">
        <v>123</v>
      </c>
      <c r="I74" s="486"/>
      <c r="J74" s="487"/>
      <c r="K74" s="488"/>
      <c r="L74" s="489"/>
      <c r="M74" s="490"/>
      <c r="N74" s="491"/>
      <c r="O74" s="489"/>
      <c r="P74" s="489"/>
      <c r="Q74" s="473"/>
      <c r="R74" s="473"/>
      <c r="S74" s="473"/>
      <c r="T74" s="474"/>
      <c r="U74" s="474"/>
      <c r="V74" s="474"/>
      <c r="W74" s="474"/>
      <c r="X74" s="474"/>
      <c r="Y74" s="410" t="b">
        <f t="shared" si="16"/>
        <v>1</v>
      </c>
      <c r="Z74" s="411" t="e">
        <f t="shared" si="17"/>
        <v>#DIV/0!</v>
      </c>
      <c r="AA74" s="412" t="e">
        <f t="shared" si="18"/>
        <v>#DIV/0!</v>
      </c>
      <c r="AB74" s="412" t="b">
        <f t="shared" si="19"/>
        <v>1</v>
      </c>
      <c r="AC74" s="505"/>
      <c r="AD74" s="505"/>
      <c r="AE74" s="507"/>
      <c r="AF74" s="505"/>
      <c r="AG74" s="537"/>
      <c r="AH74" s="537"/>
      <c r="AI74" s="537"/>
      <c r="AJ74" s="537"/>
    </row>
    <row r="75" spans="1:36" s="475" customFormat="1" ht="39.75" thickTop="1" thickBot="1">
      <c r="A75" s="365">
        <v>73</v>
      </c>
      <c r="B75" s="361" t="s">
        <v>350</v>
      </c>
      <c r="C75" s="362" t="s">
        <v>67</v>
      </c>
      <c r="D75" s="363" t="s">
        <v>845</v>
      </c>
      <c r="E75" s="494">
        <v>2401021</v>
      </c>
      <c r="F75" s="363" t="s">
        <v>332</v>
      </c>
      <c r="G75" s="364" t="s">
        <v>359</v>
      </c>
      <c r="H75" s="363" t="s">
        <v>121</v>
      </c>
      <c r="I75" s="369">
        <v>0.91300000000000003</v>
      </c>
      <c r="J75" s="370" t="s">
        <v>875</v>
      </c>
      <c r="K75" s="477">
        <v>9677154</v>
      </c>
      <c r="L75" s="371">
        <f t="shared" ref="L75" si="23">ROUND(K75*N75,2)</f>
        <v>4838577</v>
      </c>
      <c r="M75" s="478">
        <f t="shared" ref="M75:M76" si="24">K75-L75</f>
        <v>4838577</v>
      </c>
      <c r="N75" s="372">
        <v>0.5</v>
      </c>
      <c r="O75" s="371">
        <v>0</v>
      </c>
      <c r="P75" s="371">
        <v>4838577</v>
      </c>
      <c r="Q75" s="374"/>
      <c r="R75" s="473"/>
      <c r="S75" s="473"/>
      <c r="T75" s="474"/>
      <c r="U75" s="474"/>
      <c r="V75" s="474"/>
      <c r="W75" s="474"/>
      <c r="X75" s="474"/>
      <c r="Y75" s="410" t="b">
        <f t="shared" si="16"/>
        <v>1</v>
      </c>
      <c r="Z75" s="411">
        <f t="shared" si="17"/>
        <v>0.5</v>
      </c>
      <c r="AA75" s="412" t="b">
        <f t="shared" si="18"/>
        <v>1</v>
      </c>
      <c r="AB75" s="412" t="b">
        <f t="shared" si="19"/>
        <v>1</v>
      </c>
      <c r="AC75" s="505"/>
      <c r="AD75" s="505"/>
      <c r="AE75" s="507"/>
      <c r="AF75" s="505"/>
      <c r="AG75" s="537"/>
      <c r="AH75" s="537"/>
      <c r="AI75" s="537"/>
      <c r="AJ75" s="537"/>
    </row>
    <row r="76" spans="1:36" ht="39.75" thickTop="1" thickBot="1">
      <c r="A76" s="472">
        <v>74</v>
      </c>
      <c r="B76" s="365" t="s">
        <v>346</v>
      </c>
      <c r="C76" s="366" t="s">
        <v>66</v>
      </c>
      <c r="D76" s="193" t="s">
        <v>846</v>
      </c>
      <c r="E76" s="432">
        <v>2409053</v>
      </c>
      <c r="F76" s="193" t="s">
        <v>319</v>
      </c>
      <c r="G76" s="367" t="s">
        <v>356</v>
      </c>
      <c r="H76" s="193" t="s">
        <v>123</v>
      </c>
      <c r="I76" s="375">
        <v>2.59</v>
      </c>
      <c r="J76" s="376" t="s">
        <v>850</v>
      </c>
      <c r="K76" s="377">
        <v>5876000</v>
      </c>
      <c r="L76" s="378">
        <f>ROUND(K76*N76,2)</f>
        <v>2938000</v>
      </c>
      <c r="M76" s="379">
        <f t="shared" si="24"/>
        <v>2938000</v>
      </c>
      <c r="N76" s="380">
        <v>0.5</v>
      </c>
      <c r="O76" s="378">
        <v>0</v>
      </c>
      <c r="P76" s="378">
        <v>1770000</v>
      </c>
      <c r="Q76" s="381">
        <v>1168000</v>
      </c>
      <c r="R76" s="381"/>
      <c r="S76" s="374"/>
      <c r="T76" s="201"/>
      <c r="U76" s="201"/>
      <c r="V76" s="201"/>
      <c r="W76" s="179"/>
      <c r="X76" s="201"/>
      <c r="Y76" s="410" t="b">
        <f t="shared" si="16"/>
        <v>1</v>
      </c>
      <c r="Z76" s="411">
        <f t="shared" si="17"/>
        <v>0.5</v>
      </c>
      <c r="AA76" s="412" t="b">
        <f t="shared" si="18"/>
        <v>1</v>
      </c>
      <c r="AB76" s="412" t="b">
        <f t="shared" si="19"/>
        <v>1</v>
      </c>
      <c r="AC76" s="505"/>
      <c r="AD76" s="505"/>
      <c r="AE76" s="445"/>
      <c r="AF76" s="505"/>
      <c r="AG76" s="537"/>
      <c r="AH76" s="537"/>
      <c r="AI76" s="537"/>
      <c r="AJ76" s="537"/>
    </row>
    <row r="77" spans="1:36" s="475" customFormat="1" ht="39.75" thickTop="1" thickBot="1">
      <c r="A77" s="365">
        <v>75</v>
      </c>
      <c r="B77" s="368" t="s">
        <v>352</v>
      </c>
      <c r="C77" s="362" t="s">
        <v>67</v>
      </c>
      <c r="D77" s="363" t="s">
        <v>847</v>
      </c>
      <c r="E77" s="494" t="s">
        <v>534</v>
      </c>
      <c r="F77" s="363" t="s">
        <v>294</v>
      </c>
      <c r="G77" s="476" t="s">
        <v>796</v>
      </c>
      <c r="H77" s="363" t="s">
        <v>121</v>
      </c>
      <c r="I77" s="369">
        <v>1.28</v>
      </c>
      <c r="J77" s="370" t="s">
        <v>420</v>
      </c>
      <c r="K77" s="479">
        <v>5797410</v>
      </c>
      <c r="L77" s="371">
        <v>4058186.9999999995</v>
      </c>
      <c r="M77" s="478">
        <v>1739223.0000000005</v>
      </c>
      <c r="N77" s="372">
        <f>L77/K77</f>
        <v>0.7</v>
      </c>
      <c r="O77" s="371">
        <v>0</v>
      </c>
      <c r="P77" s="371">
        <f>L77</f>
        <v>4058186.9999999995</v>
      </c>
      <c r="Q77" s="374"/>
      <c r="R77" s="473"/>
      <c r="S77" s="473"/>
      <c r="T77" s="474"/>
      <c r="U77" s="474"/>
      <c r="V77" s="474"/>
      <c r="W77" s="474"/>
      <c r="X77" s="474"/>
      <c r="Y77" s="410" t="b">
        <f t="shared" ref="Y77:Y78" si="25">L77=SUM(O77:X77)</f>
        <v>1</v>
      </c>
      <c r="Z77" s="411">
        <f t="shared" ref="Z77:Z80" si="26">ROUND(L77/K77,4)</f>
        <v>0.7</v>
      </c>
      <c r="AA77" s="412" t="b">
        <f t="shared" ref="AA77:AA80" si="27">Z77=N77</f>
        <v>1</v>
      </c>
      <c r="AB77" s="412" t="b">
        <f t="shared" ref="AB77:AB80" si="28">K77=L77+M77</f>
        <v>1</v>
      </c>
      <c r="AC77" s="505"/>
      <c r="AD77" s="505"/>
      <c r="AE77" s="507"/>
      <c r="AF77" s="505"/>
      <c r="AG77" s="537"/>
      <c r="AH77" s="537"/>
      <c r="AI77" s="537"/>
      <c r="AJ77" s="537"/>
    </row>
    <row r="78" spans="1:36" s="475" customFormat="1" ht="39.75" thickTop="1" thickBot="1">
      <c r="A78" s="365">
        <v>76</v>
      </c>
      <c r="B78" s="368" t="s">
        <v>787</v>
      </c>
      <c r="C78" s="366" t="s">
        <v>66</v>
      </c>
      <c r="D78" s="193" t="s">
        <v>852</v>
      </c>
      <c r="E78" s="432">
        <v>2464011</v>
      </c>
      <c r="F78" s="193" t="s">
        <v>314</v>
      </c>
      <c r="G78" s="367" t="s">
        <v>778</v>
      </c>
      <c r="H78" s="193" t="s">
        <v>121</v>
      </c>
      <c r="I78" s="375">
        <v>1.0980000000000001</v>
      </c>
      <c r="J78" s="376" t="s">
        <v>401</v>
      </c>
      <c r="K78" s="503">
        <v>10208647</v>
      </c>
      <c r="L78" s="378">
        <f>P78+Q78</f>
        <v>5104323.5</v>
      </c>
      <c r="M78" s="379">
        <f t="shared" ref="M78" si="29">K78-L78</f>
        <v>5104323.5</v>
      </c>
      <c r="N78" s="380">
        <v>0.5</v>
      </c>
      <c r="O78" s="378">
        <v>0</v>
      </c>
      <c r="P78" s="378">
        <v>2318392</v>
      </c>
      <c r="Q78" s="381">
        <v>2785931.5</v>
      </c>
      <c r="R78" s="473"/>
      <c r="S78" s="473"/>
      <c r="T78" s="474"/>
      <c r="U78" s="474"/>
      <c r="V78" s="474"/>
      <c r="W78" s="474"/>
      <c r="X78" s="474"/>
      <c r="Y78" s="410" t="b">
        <f t="shared" si="25"/>
        <v>1</v>
      </c>
      <c r="Z78" s="411">
        <f t="shared" si="26"/>
        <v>0.5</v>
      </c>
      <c r="AA78" s="412" t="b">
        <f t="shared" si="27"/>
        <v>1</v>
      </c>
      <c r="AB78" s="412" t="b">
        <f t="shared" si="28"/>
        <v>1</v>
      </c>
      <c r="AC78" s="505"/>
      <c r="AD78" s="505"/>
      <c r="AE78" s="507"/>
      <c r="AF78" s="505"/>
      <c r="AG78" s="537"/>
      <c r="AH78" s="537"/>
      <c r="AI78" s="537"/>
      <c r="AJ78" s="537"/>
    </row>
    <row r="79" spans="1:36" s="498" customFormat="1" ht="39.75" thickTop="1" thickBot="1">
      <c r="A79" s="365">
        <v>77</v>
      </c>
      <c r="B79" s="493" t="s">
        <v>788</v>
      </c>
      <c r="C79" s="362" t="s">
        <v>67</v>
      </c>
      <c r="D79" s="363" t="s">
        <v>861</v>
      </c>
      <c r="E79" s="494">
        <v>2404122</v>
      </c>
      <c r="F79" s="363" t="s">
        <v>409</v>
      </c>
      <c r="G79" s="364" t="s">
        <v>779</v>
      </c>
      <c r="H79" s="363" t="s">
        <v>123</v>
      </c>
      <c r="I79" s="369">
        <v>1.2689999999999999</v>
      </c>
      <c r="J79" s="370" t="s">
        <v>394</v>
      </c>
      <c r="K79" s="500">
        <v>3059987</v>
      </c>
      <c r="L79" s="371">
        <v>1529993.5</v>
      </c>
      <c r="M79" s="478">
        <v>1529993.5</v>
      </c>
      <c r="N79" s="372">
        <v>0.5</v>
      </c>
      <c r="O79" s="371">
        <v>0</v>
      </c>
      <c r="P79" s="371">
        <f>L79</f>
        <v>1529993.5</v>
      </c>
      <c r="Q79" s="381"/>
      <c r="R79" s="473"/>
      <c r="S79" s="473"/>
      <c r="T79" s="473"/>
      <c r="U79" s="473"/>
      <c r="V79" s="473"/>
      <c r="W79" s="473"/>
      <c r="X79" s="473"/>
      <c r="Y79" s="495" t="b">
        <f t="shared" ref="Y79:Y80" si="30">L79=SUM(O79:X79)</f>
        <v>1</v>
      </c>
      <c r="Z79" s="496">
        <f t="shared" si="26"/>
        <v>0.5</v>
      </c>
      <c r="AA79" s="497" t="b">
        <f t="shared" si="27"/>
        <v>1</v>
      </c>
      <c r="AB79" s="497" t="b">
        <f t="shared" si="28"/>
        <v>1</v>
      </c>
      <c r="AC79" s="505"/>
      <c r="AD79" s="505"/>
      <c r="AE79" s="508"/>
      <c r="AF79" s="505"/>
      <c r="AG79" s="537"/>
      <c r="AH79" s="537"/>
      <c r="AI79" s="537"/>
      <c r="AJ79" s="537"/>
    </row>
    <row r="80" spans="1:36" s="498" customFormat="1" ht="39.75" thickTop="1" thickBot="1">
      <c r="A80" s="365">
        <v>78</v>
      </c>
      <c r="B80" s="502" t="s">
        <v>789</v>
      </c>
      <c r="C80" s="366"/>
      <c r="D80" s="193" t="s">
        <v>866</v>
      </c>
      <c r="E80" s="432" t="s">
        <v>584</v>
      </c>
      <c r="F80" s="193" t="s">
        <v>329</v>
      </c>
      <c r="G80" s="367" t="s">
        <v>780</v>
      </c>
      <c r="H80" s="193" t="s">
        <v>123</v>
      </c>
      <c r="I80" s="375"/>
      <c r="J80" s="376"/>
      <c r="K80" s="503"/>
      <c r="L80" s="378"/>
      <c r="M80" s="379"/>
      <c r="N80" s="380"/>
      <c r="O80" s="378"/>
      <c r="P80" s="378"/>
      <c r="Q80" s="381"/>
      <c r="R80" s="473"/>
      <c r="S80" s="473"/>
      <c r="T80" s="473"/>
      <c r="U80" s="473"/>
      <c r="V80" s="473"/>
      <c r="W80" s="473"/>
      <c r="X80" s="473"/>
      <c r="Y80" s="495" t="b">
        <f t="shared" si="30"/>
        <v>1</v>
      </c>
      <c r="Z80" s="496" t="e">
        <f t="shared" si="26"/>
        <v>#DIV/0!</v>
      </c>
      <c r="AA80" s="497" t="e">
        <f t="shared" si="27"/>
        <v>#DIV/0!</v>
      </c>
      <c r="AB80" s="497" t="b">
        <f t="shared" si="28"/>
        <v>1</v>
      </c>
      <c r="AC80" s="505"/>
      <c r="AD80" s="505"/>
      <c r="AE80" s="508"/>
      <c r="AF80" s="505"/>
      <c r="AG80" s="537"/>
      <c r="AH80" s="537"/>
      <c r="AI80" s="537"/>
      <c r="AJ80" s="537"/>
    </row>
    <row r="81" spans="1:36" s="498" customFormat="1" ht="39.75" thickTop="1" thickBot="1">
      <c r="A81" s="365">
        <v>79</v>
      </c>
      <c r="B81" s="502" t="s">
        <v>791</v>
      </c>
      <c r="C81" s="366" t="s">
        <v>66</v>
      </c>
      <c r="D81" s="193" t="s">
        <v>867</v>
      </c>
      <c r="E81" s="432" t="s">
        <v>587</v>
      </c>
      <c r="F81" s="193" t="s">
        <v>329</v>
      </c>
      <c r="G81" s="367" t="s">
        <v>782</v>
      </c>
      <c r="H81" s="193" t="s">
        <v>121</v>
      </c>
      <c r="I81" s="375">
        <v>0.97199999999999998</v>
      </c>
      <c r="J81" s="376" t="s">
        <v>797</v>
      </c>
      <c r="K81" s="500">
        <v>4327666</v>
      </c>
      <c r="L81" s="378">
        <f t="shared" ref="L81" si="31">K81*50%</f>
        <v>2163833</v>
      </c>
      <c r="M81" s="379">
        <f t="shared" ref="M81" si="32">K81-L81</f>
        <v>2163833</v>
      </c>
      <c r="N81" s="380">
        <v>0.5</v>
      </c>
      <c r="O81" s="378">
        <v>0</v>
      </c>
      <c r="P81" s="378">
        <v>923049</v>
      </c>
      <c r="Q81" s="381">
        <v>1240784</v>
      </c>
      <c r="R81" s="473"/>
      <c r="S81" s="473"/>
      <c r="T81" s="473"/>
      <c r="U81" s="473"/>
      <c r="V81" s="473"/>
      <c r="W81" s="473"/>
      <c r="X81" s="473"/>
      <c r="Y81" s="495"/>
      <c r="Z81" s="496">
        <f t="shared" ref="Z81" si="33">ROUND(L81/K81,4)</f>
        <v>0.5</v>
      </c>
      <c r="AA81" s="497" t="b">
        <f t="shared" ref="AA81" si="34">Z81=N81</f>
        <v>1</v>
      </c>
      <c r="AB81" s="497" t="b">
        <f t="shared" ref="AB81" si="35">K81=L81+M81</f>
        <v>1</v>
      </c>
      <c r="AC81" s="505"/>
      <c r="AD81" s="505"/>
      <c r="AE81" s="508"/>
      <c r="AF81" s="505"/>
      <c r="AG81" s="537"/>
      <c r="AH81" s="537"/>
      <c r="AI81" s="537"/>
      <c r="AJ81" s="537"/>
    </row>
    <row r="82" spans="1:36" s="498" customFormat="1" ht="39.75" thickTop="1" thickBot="1">
      <c r="A82" s="368">
        <v>80</v>
      </c>
      <c r="B82" s="493" t="s">
        <v>792</v>
      </c>
      <c r="C82" s="362"/>
      <c r="D82" s="532" t="s">
        <v>882</v>
      </c>
      <c r="E82" s="494" t="s">
        <v>502</v>
      </c>
      <c r="F82" s="363" t="s">
        <v>405</v>
      </c>
      <c r="G82" s="364" t="s">
        <v>783</v>
      </c>
      <c r="H82" s="363" t="s">
        <v>121</v>
      </c>
      <c r="I82" s="369"/>
      <c r="J82" s="370"/>
      <c r="K82" s="500"/>
      <c r="L82" s="371"/>
      <c r="M82" s="478"/>
      <c r="N82" s="372"/>
      <c r="O82" s="371"/>
      <c r="P82" s="371"/>
      <c r="Q82" s="381"/>
      <c r="R82" s="473"/>
      <c r="S82" s="473"/>
      <c r="T82" s="473"/>
      <c r="U82" s="473"/>
      <c r="V82" s="473"/>
      <c r="W82" s="473"/>
      <c r="X82" s="473"/>
      <c r="Y82" s="495" t="b">
        <f t="shared" ref="Y82" si="36">L82=SUM(O82:X82)</f>
        <v>1</v>
      </c>
      <c r="Z82" s="496" t="e">
        <f t="shared" ref="Z82" si="37">ROUND(L82/K82,4)</f>
        <v>#DIV/0!</v>
      </c>
      <c r="AA82" s="497" t="e">
        <f t="shared" ref="AA82" si="38">Z82=N82</f>
        <v>#DIV/0!</v>
      </c>
      <c r="AB82" s="497" t="b">
        <f t="shared" ref="AB82" si="39">K82=L82+M82</f>
        <v>1</v>
      </c>
      <c r="AC82" s="531"/>
      <c r="AD82" s="505"/>
      <c r="AE82" s="508"/>
      <c r="AF82" s="531"/>
      <c r="AG82" s="537"/>
      <c r="AH82" s="537"/>
      <c r="AI82" s="537"/>
      <c r="AJ82" s="537"/>
    </row>
    <row r="83" spans="1:36" s="498" customFormat="1" ht="39.75" thickTop="1" thickBot="1">
      <c r="A83" s="368">
        <v>81</v>
      </c>
      <c r="B83" s="493" t="s">
        <v>794</v>
      </c>
      <c r="C83" s="362" t="s">
        <v>67</v>
      </c>
      <c r="D83" s="532" t="s">
        <v>871</v>
      </c>
      <c r="E83" s="494" t="s">
        <v>450</v>
      </c>
      <c r="F83" s="363" t="s">
        <v>468</v>
      </c>
      <c r="G83" s="364" t="s">
        <v>785</v>
      </c>
      <c r="H83" s="363" t="s">
        <v>121</v>
      </c>
      <c r="I83" s="369">
        <v>0.34300000000000003</v>
      </c>
      <c r="J83" s="370" t="s">
        <v>798</v>
      </c>
      <c r="K83" s="500">
        <v>3926761.39</v>
      </c>
      <c r="L83" s="500">
        <v>1963280.69</v>
      </c>
      <c r="M83" s="500">
        <f t="shared" ref="M83" si="40">K83-L83</f>
        <v>1963480.7000000002</v>
      </c>
      <c r="N83" s="372">
        <v>0.5</v>
      </c>
      <c r="O83" s="371">
        <v>0</v>
      </c>
      <c r="P83" s="371">
        <f>L83</f>
        <v>1963280.69</v>
      </c>
      <c r="Q83" s="473"/>
      <c r="R83" s="473"/>
      <c r="S83" s="473"/>
      <c r="T83" s="473"/>
      <c r="U83" s="473"/>
      <c r="V83" s="473"/>
      <c r="W83" s="473"/>
      <c r="X83" s="473"/>
      <c r="Y83" s="495" t="b">
        <f t="shared" ref="Y83:Y86" si="41">L83=SUM(O83:X83)</f>
        <v>1</v>
      </c>
      <c r="Z83" s="496">
        <f t="shared" ref="Z83:Z86" si="42">ROUND(L83/K83,4)</f>
        <v>0.5</v>
      </c>
      <c r="AA83" s="497" t="b">
        <f t="shared" ref="AA83:AA86" si="43">Z83=N83</f>
        <v>1</v>
      </c>
      <c r="AB83" s="497" t="b">
        <f t="shared" ref="AB83:AB86" si="44">K83=L83+M83</f>
        <v>1</v>
      </c>
      <c r="AC83" s="531"/>
      <c r="AD83" s="505"/>
      <c r="AE83" s="508"/>
      <c r="AF83" s="531"/>
      <c r="AG83" s="537"/>
      <c r="AH83" s="537"/>
      <c r="AI83" s="537"/>
      <c r="AJ83" s="537"/>
    </row>
    <row r="84" spans="1:36" s="498" customFormat="1" ht="39.75" thickTop="1" thickBot="1">
      <c r="A84" s="365" t="s">
        <v>873</v>
      </c>
      <c r="B84" s="502" t="s">
        <v>795</v>
      </c>
      <c r="C84" s="366" t="s">
        <v>66</v>
      </c>
      <c r="D84" s="193" t="s">
        <v>874</v>
      </c>
      <c r="E84" s="432" t="s">
        <v>555</v>
      </c>
      <c r="F84" s="193" t="s">
        <v>319</v>
      </c>
      <c r="G84" s="367" t="s">
        <v>786</v>
      </c>
      <c r="H84" s="193" t="s">
        <v>121</v>
      </c>
      <c r="I84" s="375">
        <v>1.214</v>
      </c>
      <c r="J84" s="376" t="s">
        <v>799</v>
      </c>
      <c r="K84" s="500">
        <v>5649583</v>
      </c>
      <c r="L84" s="378">
        <f>P84+Q84+R84</f>
        <v>2302619.52</v>
      </c>
      <c r="M84" s="379">
        <f>K84-L84</f>
        <v>3346963.48</v>
      </c>
      <c r="N84" s="380">
        <v>0.6</v>
      </c>
      <c r="O84" s="378">
        <v>0</v>
      </c>
      <c r="P84" s="378">
        <v>1129916.3999999999</v>
      </c>
      <c r="Q84" s="381">
        <v>42786.12</v>
      </c>
      <c r="R84" s="381">
        <v>1129917</v>
      </c>
      <c r="S84" s="473"/>
      <c r="T84" s="473"/>
      <c r="U84" s="473"/>
      <c r="V84" s="473"/>
      <c r="W84" s="473"/>
      <c r="X84" s="473"/>
      <c r="Y84" s="495" t="b">
        <f t="shared" si="41"/>
        <v>1</v>
      </c>
      <c r="Z84" s="496">
        <f t="shared" si="42"/>
        <v>0.40760000000000002</v>
      </c>
      <c r="AA84" s="497" t="b">
        <f t="shared" si="43"/>
        <v>0</v>
      </c>
      <c r="AB84" s="497" t="b">
        <f t="shared" si="44"/>
        <v>1</v>
      </c>
      <c r="AC84" s="531"/>
      <c r="AD84" s="505"/>
      <c r="AE84" s="508"/>
      <c r="AF84" s="531"/>
      <c r="AG84" s="537"/>
      <c r="AH84" s="537"/>
      <c r="AI84" s="537"/>
      <c r="AJ84" s="537"/>
    </row>
    <row r="85" spans="1:36" s="498" customFormat="1" ht="39.75" thickTop="1" thickBot="1">
      <c r="A85" s="368">
        <v>83</v>
      </c>
      <c r="B85" s="361" t="s">
        <v>800</v>
      </c>
      <c r="C85" s="362" t="s">
        <v>67</v>
      </c>
      <c r="D85" s="532" t="s">
        <v>876</v>
      </c>
      <c r="E85" s="494" t="s">
        <v>492</v>
      </c>
      <c r="F85" s="363" t="s">
        <v>305</v>
      </c>
      <c r="G85" s="364" t="s">
        <v>802</v>
      </c>
      <c r="H85" s="363" t="s">
        <v>123</v>
      </c>
      <c r="I85" s="369">
        <v>1.0840000000000001</v>
      </c>
      <c r="J85" s="370" t="s">
        <v>880</v>
      </c>
      <c r="K85" s="500">
        <v>2002247</v>
      </c>
      <c r="L85" s="371">
        <v>1001123.5</v>
      </c>
      <c r="M85" s="478">
        <v>1001123.5</v>
      </c>
      <c r="N85" s="372">
        <v>0.5</v>
      </c>
      <c r="O85" s="371">
        <v>0</v>
      </c>
      <c r="P85" s="371">
        <f>L85</f>
        <v>1001123.5</v>
      </c>
      <c r="Q85" s="381"/>
      <c r="R85" s="381"/>
      <c r="S85" s="473"/>
      <c r="T85" s="473"/>
      <c r="U85" s="473"/>
      <c r="V85" s="473"/>
      <c r="W85" s="473"/>
      <c r="X85" s="473"/>
      <c r="Y85" s="495" t="b">
        <f t="shared" ref="Y85" si="45">L85=SUM(O85:X85)</f>
        <v>1</v>
      </c>
      <c r="Z85" s="496">
        <f t="shared" ref="Z85" si="46">ROUND(L85/K85,4)</f>
        <v>0.5</v>
      </c>
      <c r="AA85" s="497" t="b">
        <f t="shared" ref="AA85" si="47">Z85=N85</f>
        <v>1</v>
      </c>
      <c r="AB85" s="497" t="b">
        <f t="shared" ref="AB85" si="48">K85=L85+M85</f>
        <v>1</v>
      </c>
      <c r="AC85" s="531"/>
      <c r="AD85" s="505"/>
      <c r="AE85" s="508"/>
      <c r="AF85" s="531"/>
      <c r="AG85" s="537"/>
      <c r="AH85" s="537"/>
      <c r="AI85" s="537"/>
      <c r="AJ85" s="537"/>
    </row>
    <row r="86" spans="1:36" s="498" customFormat="1" ht="39.75" thickTop="1" thickBot="1">
      <c r="A86" s="368" t="s">
        <v>877</v>
      </c>
      <c r="B86" s="361" t="s">
        <v>801</v>
      </c>
      <c r="C86" s="362" t="s">
        <v>67</v>
      </c>
      <c r="D86" s="532" t="s">
        <v>883</v>
      </c>
      <c r="E86" s="494" t="s">
        <v>497</v>
      </c>
      <c r="F86" s="363" t="s">
        <v>405</v>
      </c>
      <c r="G86" s="364" t="s">
        <v>803</v>
      </c>
      <c r="H86" s="363" t="s">
        <v>123</v>
      </c>
      <c r="I86" s="369">
        <v>0.40100000000000002</v>
      </c>
      <c r="J86" s="370" t="s">
        <v>829</v>
      </c>
      <c r="K86" s="500">
        <v>4097274.3200000175</v>
      </c>
      <c r="L86" s="371">
        <v>556415.26000000536</v>
      </c>
      <c r="M86" s="478">
        <f>K86-L86</f>
        <v>3540859.0600000122</v>
      </c>
      <c r="N86" s="372">
        <v>0.5</v>
      </c>
      <c r="O86" s="371">
        <v>0</v>
      </c>
      <c r="P86" s="371">
        <f>L86</f>
        <v>556415.26000000536</v>
      </c>
      <c r="Q86" s="381"/>
      <c r="R86" s="381"/>
      <c r="S86" s="473"/>
      <c r="T86" s="473"/>
      <c r="U86" s="473"/>
      <c r="V86" s="473"/>
      <c r="W86" s="473"/>
      <c r="X86" s="473"/>
      <c r="Y86" s="495" t="b">
        <f t="shared" si="41"/>
        <v>1</v>
      </c>
      <c r="Z86" s="496">
        <f t="shared" si="42"/>
        <v>0.1358</v>
      </c>
      <c r="AA86" s="497" t="b">
        <f t="shared" si="43"/>
        <v>0</v>
      </c>
      <c r="AB86" s="497" t="b">
        <f t="shared" si="44"/>
        <v>1</v>
      </c>
      <c r="AC86" s="531"/>
      <c r="AD86" s="505"/>
      <c r="AE86" s="508"/>
      <c r="AF86" s="531"/>
      <c r="AG86" s="537"/>
      <c r="AH86" s="537"/>
      <c r="AI86" s="537"/>
      <c r="AJ86" s="537"/>
    </row>
    <row r="87" spans="1:36" ht="20.100000000000001" customHeight="1" thickTop="1" thickBot="1">
      <c r="A87" s="592" t="s">
        <v>42</v>
      </c>
      <c r="B87" s="593"/>
      <c r="C87" s="593"/>
      <c r="D87" s="593"/>
      <c r="E87" s="593"/>
      <c r="F87" s="593"/>
      <c r="G87" s="593"/>
      <c r="H87" s="594"/>
      <c r="I87" s="433">
        <f>SUM(I3:I86)</f>
        <v>63.377000000000017</v>
      </c>
      <c r="J87" s="434" t="s">
        <v>14</v>
      </c>
      <c r="K87" s="176">
        <f>SUM(K3:K86)</f>
        <v>189891968.00999999</v>
      </c>
      <c r="L87" s="176">
        <f>SUM(L3:L86)</f>
        <v>105005706.13</v>
      </c>
      <c r="M87" s="176">
        <f>SUM(M3:M86)</f>
        <v>84886261.880000025</v>
      </c>
      <c r="N87" s="435" t="s">
        <v>14</v>
      </c>
      <c r="O87" s="176">
        <f t="shared" ref="O87:X87" si="49">SUM(O3:O86)</f>
        <v>6092613.1999999993</v>
      </c>
      <c r="P87" s="176">
        <f t="shared" si="49"/>
        <v>70997675.400000006</v>
      </c>
      <c r="Q87" s="176">
        <f t="shared" si="49"/>
        <v>23527923.170000006</v>
      </c>
      <c r="R87" s="176">
        <f t="shared" si="49"/>
        <v>4387494.3600000003</v>
      </c>
      <c r="S87" s="176">
        <f t="shared" si="49"/>
        <v>0</v>
      </c>
      <c r="T87" s="176">
        <f t="shared" si="49"/>
        <v>0</v>
      </c>
      <c r="U87" s="176">
        <f t="shared" si="49"/>
        <v>0</v>
      </c>
      <c r="V87" s="176">
        <f t="shared" si="49"/>
        <v>0</v>
      </c>
      <c r="W87" s="176">
        <f t="shared" si="49"/>
        <v>0</v>
      </c>
      <c r="X87" s="176">
        <f t="shared" si="49"/>
        <v>0</v>
      </c>
      <c r="Y87" s="410" t="b">
        <f t="shared" ref="Y87:Y90" si="50">L87=SUM(O87:X87)</f>
        <v>1</v>
      </c>
      <c r="Z87" s="411">
        <f t="shared" ref="Z87:Z90" si="51">ROUND(L87/K87,4)</f>
        <v>0.55300000000000005</v>
      </c>
      <c r="AA87" s="412" t="b">
        <f t="shared" ref="AA87:AA90" si="52">Z87=N87</f>
        <v>0</v>
      </c>
      <c r="AB87" s="412" t="b">
        <f t="shared" ref="AB87:AB90" si="53">K87=L87+M87</f>
        <v>1</v>
      </c>
      <c r="AC87" s="505"/>
      <c r="AD87" s="505"/>
      <c r="AE87" s="445"/>
      <c r="AF87" s="445"/>
      <c r="AG87" s="537"/>
      <c r="AH87" s="537"/>
      <c r="AI87" s="537"/>
      <c r="AJ87" s="537"/>
    </row>
    <row r="88" spans="1:36" s="422" customFormat="1" ht="20.100000000000001" customHeight="1" thickTop="1" thickBot="1">
      <c r="A88" s="598" t="s">
        <v>35</v>
      </c>
      <c r="B88" s="599"/>
      <c r="C88" s="599"/>
      <c r="D88" s="599"/>
      <c r="E88" s="599"/>
      <c r="F88" s="599"/>
      <c r="G88" s="599"/>
      <c r="H88" s="600"/>
      <c r="I88" s="436">
        <f>SUMIF($C$3:$C$86,"K",I3:I86)</f>
        <v>18.040999999999997</v>
      </c>
      <c r="J88" s="437" t="s">
        <v>14</v>
      </c>
      <c r="K88" s="171">
        <f>SUMIF($C$3:$C$86,"K",K3:K86)</f>
        <v>57466910.43999999</v>
      </c>
      <c r="L88" s="171">
        <f>SUMIF($C$3:$C$86,"K",L3:L86)</f>
        <v>33318751.859999999</v>
      </c>
      <c r="M88" s="171">
        <f>SUMIF($C$3:$C$86,"K",M3:M86)</f>
        <v>24148158.580000002</v>
      </c>
      <c r="N88" s="438" t="s">
        <v>14</v>
      </c>
      <c r="O88" s="171">
        <f t="shared" ref="O88:X88" si="54">SUMIF($C$3:$C$86,"K",O3:O86)</f>
        <v>6092613.1999999993</v>
      </c>
      <c r="P88" s="171">
        <f t="shared" si="54"/>
        <v>13680587.299999999</v>
      </c>
      <c r="Q88" s="171">
        <f t="shared" si="54"/>
        <v>11168313.200000001</v>
      </c>
      <c r="R88" s="171">
        <f t="shared" si="54"/>
        <v>2377238.16</v>
      </c>
      <c r="S88" s="171">
        <f t="shared" si="54"/>
        <v>0</v>
      </c>
      <c r="T88" s="171">
        <f t="shared" si="54"/>
        <v>0</v>
      </c>
      <c r="U88" s="171">
        <f t="shared" si="54"/>
        <v>0</v>
      </c>
      <c r="V88" s="171">
        <f t="shared" si="54"/>
        <v>0</v>
      </c>
      <c r="W88" s="171">
        <f t="shared" si="54"/>
        <v>0</v>
      </c>
      <c r="X88" s="171">
        <f t="shared" si="54"/>
        <v>0</v>
      </c>
      <c r="Y88" s="410" t="b">
        <f t="shared" si="50"/>
        <v>1</v>
      </c>
      <c r="Z88" s="411">
        <f t="shared" si="51"/>
        <v>0.57979999999999998</v>
      </c>
      <c r="AA88" s="412" t="b">
        <f t="shared" si="52"/>
        <v>0</v>
      </c>
      <c r="AB88" s="412" t="b">
        <f t="shared" si="53"/>
        <v>1</v>
      </c>
      <c r="AC88" s="505"/>
      <c r="AD88" s="505"/>
      <c r="AE88" s="506"/>
      <c r="AF88" s="506"/>
      <c r="AG88" s="537"/>
      <c r="AH88" s="537"/>
      <c r="AI88" s="537"/>
      <c r="AJ88" s="537"/>
    </row>
    <row r="89" spans="1:36" ht="20.100000000000001" customHeight="1" thickTop="1" thickBot="1">
      <c r="A89" s="592" t="s">
        <v>36</v>
      </c>
      <c r="B89" s="593"/>
      <c r="C89" s="593"/>
      <c r="D89" s="593"/>
      <c r="E89" s="593"/>
      <c r="F89" s="593"/>
      <c r="G89" s="593"/>
      <c r="H89" s="594"/>
      <c r="I89" s="433">
        <f>SUMIF($C$3:$C$86,"N",I3:I86)</f>
        <v>32.337000000000003</v>
      </c>
      <c r="J89" s="434" t="s">
        <v>14</v>
      </c>
      <c r="K89" s="176">
        <f>SUMIF($C$3:$C$86,"N",K3:K86)</f>
        <v>78353091.460000038</v>
      </c>
      <c r="L89" s="176">
        <f>SUMIF($C$3:$C$86,"N",L3:L86)</f>
        <v>44852801.150000006</v>
      </c>
      <c r="M89" s="176">
        <f>SUMIF($C$3:$C$86,"N",M3:M86)</f>
        <v>33500290.310000014</v>
      </c>
      <c r="N89" s="435" t="s">
        <v>14</v>
      </c>
      <c r="O89" s="176">
        <f t="shared" ref="O89:X89" si="55">SUMIF($C$3:$C$86,"N",O3:O86)</f>
        <v>0</v>
      </c>
      <c r="P89" s="176">
        <f t="shared" si="55"/>
        <v>44852801.150000006</v>
      </c>
      <c r="Q89" s="176">
        <f t="shared" si="55"/>
        <v>0</v>
      </c>
      <c r="R89" s="176">
        <f t="shared" si="55"/>
        <v>0</v>
      </c>
      <c r="S89" s="176">
        <f t="shared" si="55"/>
        <v>0</v>
      </c>
      <c r="T89" s="176">
        <f t="shared" si="55"/>
        <v>0</v>
      </c>
      <c r="U89" s="176">
        <f t="shared" si="55"/>
        <v>0</v>
      </c>
      <c r="V89" s="176">
        <f t="shared" si="55"/>
        <v>0</v>
      </c>
      <c r="W89" s="176">
        <f t="shared" si="55"/>
        <v>0</v>
      </c>
      <c r="X89" s="176">
        <f t="shared" si="55"/>
        <v>0</v>
      </c>
      <c r="Y89" s="410" t="b">
        <f t="shared" si="50"/>
        <v>1</v>
      </c>
      <c r="Z89" s="411">
        <f t="shared" si="51"/>
        <v>0.57240000000000002</v>
      </c>
      <c r="AA89" s="412" t="b">
        <f t="shared" si="52"/>
        <v>0</v>
      </c>
      <c r="AB89" s="412" t="b">
        <f t="shared" si="53"/>
        <v>1</v>
      </c>
      <c r="AC89" s="505"/>
      <c r="AD89" s="505"/>
      <c r="AE89" s="445"/>
      <c r="AF89" s="445"/>
      <c r="AG89" s="537"/>
      <c r="AH89" s="537"/>
      <c r="AI89" s="537"/>
    </row>
    <row r="90" spans="1:36" s="422" customFormat="1" ht="20.100000000000001" customHeight="1" thickTop="1" thickBot="1">
      <c r="A90" s="598" t="s">
        <v>37</v>
      </c>
      <c r="B90" s="599"/>
      <c r="C90" s="599"/>
      <c r="D90" s="599"/>
      <c r="E90" s="599"/>
      <c r="F90" s="599"/>
      <c r="G90" s="599"/>
      <c r="H90" s="600"/>
      <c r="I90" s="436">
        <f>SUMIF($C$3:$C$86,"W",I3:I86)</f>
        <v>12.999000000000001</v>
      </c>
      <c r="J90" s="437" t="s">
        <v>14</v>
      </c>
      <c r="K90" s="171">
        <f>SUMIF($C$3:$C$86,"W",K3:K86)</f>
        <v>54071966.109999999</v>
      </c>
      <c r="L90" s="171">
        <f>SUMIF($C$3:$C$86,"W",L3:L86)</f>
        <v>26834153.120000001</v>
      </c>
      <c r="M90" s="171">
        <f>SUMIF($C$3:$C$86,"W",M3:M86)</f>
        <v>27237812.989999998</v>
      </c>
      <c r="N90" s="438" t="s">
        <v>14</v>
      </c>
      <c r="O90" s="171">
        <f t="shared" ref="O90:X90" si="56">SUMIF($C$3:$C$86,"W",O3:O86)</f>
        <v>0</v>
      </c>
      <c r="P90" s="171">
        <f t="shared" si="56"/>
        <v>12464286.950000001</v>
      </c>
      <c r="Q90" s="171">
        <f t="shared" si="56"/>
        <v>12359609.970000001</v>
      </c>
      <c r="R90" s="171">
        <f t="shared" si="56"/>
        <v>2010256.2</v>
      </c>
      <c r="S90" s="171">
        <f t="shared" si="56"/>
        <v>0</v>
      </c>
      <c r="T90" s="171">
        <f t="shared" si="56"/>
        <v>0</v>
      </c>
      <c r="U90" s="171">
        <f t="shared" si="56"/>
        <v>0</v>
      </c>
      <c r="V90" s="171">
        <f t="shared" si="56"/>
        <v>0</v>
      </c>
      <c r="W90" s="171">
        <f t="shared" si="56"/>
        <v>0</v>
      </c>
      <c r="X90" s="171">
        <f t="shared" si="56"/>
        <v>0</v>
      </c>
      <c r="Y90" s="410" t="b">
        <f t="shared" si="50"/>
        <v>1</v>
      </c>
      <c r="Z90" s="411">
        <f t="shared" si="51"/>
        <v>0.49630000000000002</v>
      </c>
      <c r="AA90" s="412" t="b">
        <f t="shared" si="52"/>
        <v>0</v>
      </c>
      <c r="AB90" s="412" t="b">
        <f t="shared" si="53"/>
        <v>1</v>
      </c>
      <c r="AC90" s="505"/>
      <c r="AD90" s="505"/>
      <c r="AE90" s="506"/>
      <c r="AF90" s="506"/>
      <c r="AG90" s="537"/>
      <c r="AH90" s="537"/>
    </row>
    <row r="91" spans="1:36" ht="16.5" thickTop="1" thickBot="1">
      <c r="A91" s="275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AG91" s="537"/>
      <c r="AH91" s="537"/>
    </row>
    <row r="92" spans="1:36" ht="22.5" thickTop="1" thickBot="1">
      <c r="A92" s="276" t="s">
        <v>22</v>
      </c>
      <c r="L92" s="13"/>
      <c r="M92" s="446"/>
      <c r="X92" s="445"/>
      <c r="AG92" s="537"/>
      <c r="AH92" s="537"/>
    </row>
    <row r="93" spans="1:36" ht="22.5" thickTop="1" thickBot="1">
      <c r="A93" s="277" t="s">
        <v>23</v>
      </c>
      <c r="L93" s="446"/>
      <c r="M93" s="446"/>
      <c r="P93" s="446"/>
      <c r="Q93" s="501"/>
      <c r="R93" s="446"/>
      <c r="X93" s="445"/>
      <c r="AG93" s="537"/>
      <c r="AH93" s="537"/>
    </row>
    <row r="94" spans="1:36" ht="21.75" thickTop="1">
      <c r="A94" s="276" t="s">
        <v>40</v>
      </c>
      <c r="O94" s="446"/>
      <c r="X94" s="445"/>
      <c r="AG94" s="537"/>
      <c r="AH94" s="537"/>
    </row>
    <row r="95" spans="1:36">
      <c r="A95" s="447" t="s">
        <v>859</v>
      </c>
      <c r="X95" s="445"/>
    </row>
    <row r="96" spans="1:36" ht="18" customHeight="1">
      <c r="A96" s="463" t="s">
        <v>884</v>
      </c>
      <c r="X96" s="445"/>
    </row>
    <row r="97" spans="1:25">
      <c r="A97" s="448"/>
      <c r="O97" s="445"/>
      <c r="P97" s="445"/>
      <c r="Q97" s="449"/>
      <c r="R97" s="445"/>
      <c r="S97" s="445"/>
      <c r="T97" s="445"/>
      <c r="U97" s="445"/>
      <c r="V97" s="445"/>
      <c r="W97" s="445"/>
      <c r="Y97" s="451"/>
    </row>
    <row r="98" spans="1:25">
      <c r="O98" s="445"/>
      <c r="P98" s="445"/>
      <c r="Q98" s="449"/>
      <c r="R98" s="445"/>
      <c r="S98" s="445"/>
      <c r="T98" s="445"/>
      <c r="U98" s="445"/>
      <c r="V98" s="445"/>
      <c r="W98" s="445"/>
      <c r="Y98" s="451"/>
    </row>
    <row r="99" spans="1:25">
      <c r="O99" s="445"/>
      <c r="P99" s="445"/>
      <c r="Q99" s="449"/>
      <c r="R99" s="445"/>
      <c r="S99" s="445"/>
      <c r="T99" s="445"/>
      <c r="U99" s="445"/>
      <c r="V99" s="445"/>
      <c r="W99" s="445"/>
      <c r="Y99" s="451"/>
    </row>
    <row r="100" spans="1:25">
      <c r="O100" s="445"/>
      <c r="P100" s="445"/>
      <c r="Q100" s="449"/>
      <c r="R100" s="445"/>
      <c r="S100" s="445"/>
      <c r="T100" s="445"/>
      <c r="U100" s="445"/>
      <c r="V100" s="445"/>
      <c r="W100" s="445"/>
      <c r="Y100" s="451"/>
    </row>
    <row r="101" spans="1:25">
      <c r="O101" s="445"/>
      <c r="P101" s="445"/>
      <c r="Q101" s="449"/>
      <c r="R101" s="445"/>
      <c r="S101" s="445"/>
      <c r="T101" s="445"/>
      <c r="U101" s="445"/>
      <c r="V101" s="445"/>
      <c r="W101" s="445"/>
      <c r="Y101" s="451"/>
    </row>
    <row r="102" spans="1:25">
      <c r="O102" s="445"/>
      <c r="P102" s="445"/>
      <c r="Q102" s="449"/>
      <c r="R102" s="445"/>
      <c r="S102" s="445"/>
      <c r="T102" s="445"/>
      <c r="U102" s="445"/>
      <c r="V102" s="445"/>
      <c r="W102" s="445"/>
      <c r="Y102" s="451"/>
    </row>
    <row r="103" spans="1:25">
      <c r="O103" s="445"/>
      <c r="P103" s="445"/>
      <c r="Q103" s="449"/>
      <c r="R103" s="445"/>
      <c r="S103" s="445"/>
      <c r="T103" s="445"/>
      <c r="U103" s="445"/>
      <c r="V103" s="445"/>
      <c r="W103" s="445"/>
      <c r="Y103" s="451"/>
    </row>
    <row r="104" spans="1:25">
      <c r="O104" s="445"/>
      <c r="P104" s="445"/>
      <c r="Q104" s="449"/>
      <c r="R104" s="445"/>
      <c r="S104" s="445"/>
      <c r="T104" s="445"/>
      <c r="U104" s="445"/>
      <c r="V104" s="445"/>
      <c r="W104" s="445"/>
      <c r="Y104" s="451"/>
    </row>
    <row r="105" spans="1:25">
      <c r="O105" s="445"/>
      <c r="P105" s="445"/>
      <c r="Q105" s="449"/>
      <c r="R105" s="445"/>
      <c r="S105" s="445"/>
      <c r="T105" s="445"/>
      <c r="U105" s="445"/>
      <c r="V105" s="445"/>
      <c r="W105" s="445"/>
      <c r="Y105" s="451"/>
    </row>
  </sheetData>
  <mergeCells count="19">
    <mergeCell ref="A90:H90"/>
    <mergeCell ref="A89:H89"/>
    <mergeCell ref="E1:E2"/>
    <mergeCell ref="A88:H88"/>
    <mergeCell ref="N1:N2"/>
    <mergeCell ref="O1:X1"/>
    <mergeCell ref="L1:L2"/>
    <mergeCell ref="M1:M2"/>
    <mergeCell ref="A87:H87"/>
    <mergeCell ref="H1:H2"/>
    <mergeCell ref="I1:I2"/>
    <mergeCell ref="J1:J2"/>
    <mergeCell ref="K1:K2"/>
    <mergeCell ref="A1:A2"/>
    <mergeCell ref="B1:B2"/>
    <mergeCell ref="C1:C2"/>
    <mergeCell ref="F1:F2"/>
    <mergeCell ref="G1:G2"/>
    <mergeCell ref="D1:D2"/>
  </mergeCells>
  <conditionalFormatting sqref="Y3:AB76 Y86:AB90">
    <cfRule type="cellIs" dxfId="70" priority="56" operator="equal">
      <formula>FALSE</formula>
    </cfRule>
  </conditionalFormatting>
  <conditionalFormatting sqref="Y3:AA76 Y86:AA90">
    <cfRule type="containsText" dxfId="69" priority="54" operator="containsText" text="fałsz">
      <formula>NOT(ISERROR(SEARCH("fałsz",Y3)))</formula>
    </cfRule>
  </conditionalFormatting>
  <conditionalFormatting sqref="G68">
    <cfRule type="duplicateValues" dxfId="68" priority="19"/>
  </conditionalFormatting>
  <conditionalFormatting sqref="Y77:AB77">
    <cfRule type="cellIs" dxfId="67" priority="16" operator="equal">
      <formula>FALSE</formula>
    </cfRule>
  </conditionalFormatting>
  <conditionalFormatting sqref="Y77:AA77">
    <cfRule type="containsText" dxfId="66" priority="15" operator="containsText" text="fałsz">
      <formula>NOT(ISERROR(SEARCH("fałsz",Y77)))</formula>
    </cfRule>
  </conditionalFormatting>
  <conditionalFormatting sqref="Y78:AB81">
    <cfRule type="cellIs" dxfId="65" priority="14" operator="equal">
      <formula>FALSE</formula>
    </cfRule>
  </conditionalFormatting>
  <conditionalFormatting sqref="Y78:AA81">
    <cfRule type="containsText" dxfId="64" priority="13" operator="containsText" text="fałsz">
      <formula>NOT(ISERROR(SEARCH("fałsz",Y78)))</formula>
    </cfRule>
  </conditionalFormatting>
  <conditionalFormatting sqref="Y79:AB81">
    <cfRule type="cellIs" dxfId="63" priority="12" operator="equal">
      <formula>FALSE</formula>
    </cfRule>
  </conditionalFormatting>
  <conditionalFormatting sqref="Y79:AA81">
    <cfRule type="containsText" dxfId="62" priority="11" operator="containsText" text="fałsz">
      <formula>NOT(ISERROR(SEARCH("fałsz",Y79)))</formula>
    </cfRule>
  </conditionalFormatting>
  <conditionalFormatting sqref="Y80:AB81">
    <cfRule type="cellIs" dxfId="61" priority="10" operator="equal">
      <formula>FALSE</formula>
    </cfRule>
  </conditionalFormatting>
  <conditionalFormatting sqref="Y80:AA81">
    <cfRule type="containsText" dxfId="60" priority="9" operator="containsText" text="fałsz">
      <formula>NOT(ISERROR(SEARCH("fałsz",Y80)))</formula>
    </cfRule>
  </conditionalFormatting>
  <conditionalFormatting sqref="Y82:AB86">
    <cfRule type="cellIs" dxfId="59" priority="8" operator="equal">
      <formula>FALSE</formula>
    </cfRule>
  </conditionalFormatting>
  <conditionalFormatting sqref="Y82:AA86">
    <cfRule type="containsText" dxfId="58" priority="7" operator="containsText" text="fałsz">
      <formula>NOT(ISERROR(SEARCH("fałsz",Y82)))</formula>
    </cfRule>
  </conditionalFormatting>
  <conditionalFormatting sqref="Y83:AB85">
    <cfRule type="cellIs" dxfId="57" priority="6" operator="equal">
      <formula>FALSE</formula>
    </cfRule>
  </conditionalFormatting>
  <conditionalFormatting sqref="Y83:AA85">
    <cfRule type="containsText" dxfId="56" priority="5" operator="containsText" text="fałsz">
      <formula>NOT(ISERROR(SEARCH("fałsz",Y83)))</formula>
    </cfRule>
  </conditionalFormatting>
  <conditionalFormatting sqref="Y84:AB85">
    <cfRule type="cellIs" dxfId="55" priority="4" operator="equal">
      <formula>FALSE</formula>
    </cfRule>
  </conditionalFormatting>
  <conditionalFormatting sqref="Y84:AA85">
    <cfRule type="containsText" dxfId="54" priority="3" operator="containsText" text="fałsz">
      <formula>NOT(ISERROR(SEARCH("fałsz",Y84)))</formula>
    </cfRule>
  </conditionalFormatting>
  <conditionalFormatting sqref="Y85:AB85">
    <cfRule type="cellIs" dxfId="53" priority="2" operator="equal">
      <formula>FALSE</formula>
    </cfRule>
  </conditionalFormatting>
  <conditionalFormatting sqref="Y85:AA85">
    <cfRule type="containsText" dxfId="52" priority="1" operator="containsText" text="fałsz">
      <formula>NOT(ISERROR(SEARCH("fałsz",Y85)))</formula>
    </cfRule>
  </conditionalFormatting>
  <dataValidations count="5">
    <dataValidation type="custom" allowBlank="1" showInputMessage="1" showErrorMessage="1" sqref="H3:H19 D3:D67 G69 B3:B70 D69:D70 G71:G76 B72:B76 G26:G67 D78:D79 G20:G24 K77:K82 G78:G86 B78:B86 K84:K85">
      <formula1>NOT(B3)</formula1>
    </dataValidation>
    <dataValidation type="list" allowBlank="1" showInputMessage="1" showErrorMessage="1" sqref="I3:I19 H20:H71">
      <formula1>"B,P,R"</formula1>
    </dataValidation>
    <dataValidation showInputMessage="1" showErrorMessage="1" sqref="D71"/>
    <dataValidation type="list" allowBlank="1" showInputMessage="1" showErrorMessage="1" sqref="C3:C71">
      <formula1>"N,K,W"</formula1>
    </dataValidation>
    <dataValidation type="list" allowBlank="1" showInputMessage="1" showErrorMessage="1" sqref="C72:C76 C78:C86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47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0"/>
  <sheetViews>
    <sheetView showGridLines="0" view="pageBreakPreview" zoomScaleNormal="78" zoomScaleSheetLayoutView="100" workbookViewId="0">
      <selection sqref="A1:XFD1048576"/>
    </sheetView>
  </sheetViews>
  <sheetFormatPr defaultColWidth="9.140625" defaultRowHeight="15"/>
  <cols>
    <col min="1" max="1" width="5.140625" style="145" customWidth="1"/>
    <col min="2" max="2" width="10.28515625" style="143" customWidth="1"/>
    <col min="3" max="3" width="11.42578125" style="143" customWidth="1"/>
    <col min="4" max="4" width="19" style="143" customWidth="1"/>
    <col min="5" max="5" width="11.42578125" style="143" customWidth="1"/>
    <col min="6" max="6" width="53.85546875" style="31" customWidth="1"/>
    <col min="7" max="7" width="9.5703125" style="143" customWidth="1"/>
    <col min="8" max="8" width="12" style="31" customWidth="1"/>
    <col min="9" max="10" width="15.7109375" style="143" customWidth="1"/>
    <col min="11" max="11" width="16.7109375" style="31" customWidth="1"/>
    <col min="12" max="12" width="15.7109375" style="31" customWidth="1"/>
    <col min="13" max="13" width="12.5703125" style="145" customWidth="1"/>
    <col min="14" max="14" width="14.5703125" style="31" customWidth="1"/>
    <col min="15" max="22" width="15.7109375" style="31" customWidth="1"/>
    <col min="23" max="23" width="15.7109375" style="199" customWidth="1"/>
    <col min="24" max="27" width="15.7109375" style="31" customWidth="1"/>
    <col min="28" max="16384" width="9.140625" style="31"/>
  </cols>
  <sheetData>
    <row r="1" spans="1:28" s="197" customFormat="1" ht="20.100000000000001" customHeight="1">
      <c r="A1" s="602" t="s">
        <v>4</v>
      </c>
      <c r="B1" s="602" t="s">
        <v>5</v>
      </c>
      <c r="C1" s="606" t="s">
        <v>808</v>
      </c>
      <c r="D1" s="603" t="s">
        <v>6</v>
      </c>
      <c r="E1" s="606" t="s">
        <v>30</v>
      </c>
      <c r="F1" s="603" t="s">
        <v>7</v>
      </c>
      <c r="G1" s="602" t="s">
        <v>24</v>
      </c>
      <c r="H1" s="602" t="s">
        <v>8</v>
      </c>
      <c r="I1" s="602" t="s">
        <v>21</v>
      </c>
      <c r="J1" s="602" t="s">
        <v>9</v>
      </c>
      <c r="K1" s="602" t="s">
        <v>10</v>
      </c>
      <c r="L1" s="603" t="s">
        <v>13</v>
      </c>
      <c r="M1" s="602" t="s">
        <v>11</v>
      </c>
      <c r="N1" s="602" t="s">
        <v>12</v>
      </c>
      <c r="O1" s="602"/>
      <c r="P1" s="602"/>
      <c r="Q1" s="602"/>
      <c r="R1" s="602"/>
      <c r="S1" s="602"/>
      <c r="T1" s="602"/>
      <c r="U1" s="602"/>
      <c r="V1" s="602"/>
      <c r="W1" s="602"/>
    </row>
    <row r="2" spans="1:28" s="197" customFormat="1" ht="20.100000000000001" customHeight="1">
      <c r="A2" s="602"/>
      <c r="B2" s="602"/>
      <c r="C2" s="607"/>
      <c r="D2" s="604"/>
      <c r="E2" s="607"/>
      <c r="F2" s="604"/>
      <c r="G2" s="602"/>
      <c r="H2" s="602"/>
      <c r="I2" s="602"/>
      <c r="J2" s="602"/>
      <c r="K2" s="602"/>
      <c r="L2" s="604"/>
      <c r="M2" s="602"/>
      <c r="N2" s="535">
        <v>2019</v>
      </c>
      <c r="O2" s="535">
        <v>2020</v>
      </c>
      <c r="P2" s="535">
        <v>2021</v>
      </c>
      <c r="Q2" s="535">
        <v>2022</v>
      </c>
      <c r="R2" s="535">
        <v>2023</v>
      </c>
      <c r="S2" s="535">
        <v>2024</v>
      </c>
      <c r="T2" s="535">
        <v>2025</v>
      </c>
      <c r="U2" s="535">
        <v>2026</v>
      </c>
      <c r="V2" s="535">
        <v>2027</v>
      </c>
      <c r="W2" s="535">
        <v>2028</v>
      </c>
      <c r="X2" s="145" t="s">
        <v>26</v>
      </c>
      <c r="Y2" s="145" t="s">
        <v>27</v>
      </c>
      <c r="Z2" s="145" t="s">
        <v>28</v>
      </c>
      <c r="AA2" s="198" t="s">
        <v>29</v>
      </c>
    </row>
    <row r="3" spans="1:28" s="154" customFormat="1" ht="58.9" customHeight="1">
      <c r="A3" s="122">
        <v>1</v>
      </c>
      <c r="B3" s="121" t="s">
        <v>360</v>
      </c>
      <c r="C3" s="127"/>
      <c r="D3" s="121" t="s">
        <v>815</v>
      </c>
      <c r="E3" s="126">
        <v>2411</v>
      </c>
      <c r="F3" s="206" t="s">
        <v>369</v>
      </c>
      <c r="G3" s="121"/>
      <c r="H3" s="149"/>
      <c r="I3" s="149"/>
      <c r="J3" s="149"/>
      <c r="K3" s="119"/>
      <c r="L3" s="120"/>
      <c r="M3" s="119"/>
      <c r="N3" s="119"/>
      <c r="O3" s="119"/>
      <c r="P3" s="119"/>
      <c r="Q3" s="120"/>
      <c r="R3" s="120"/>
      <c r="S3" s="120"/>
      <c r="T3" s="120"/>
      <c r="U3" s="120"/>
      <c r="V3" s="120"/>
      <c r="W3" s="120"/>
      <c r="X3" s="150" t="b">
        <f t="shared" ref="X3" si="0">K3=SUM(N3:W3)</f>
        <v>1</v>
      </c>
      <c r="Y3" s="151" t="e">
        <f t="shared" ref="Y3:Y6" si="1">ROUND(K3/J3,4)</f>
        <v>#DIV/0!</v>
      </c>
      <c r="Z3" s="152" t="e">
        <f t="shared" ref="Z3:Z6" si="2">Y3=M3</f>
        <v>#DIV/0!</v>
      </c>
      <c r="AA3" s="152" t="b">
        <f t="shared" ref="AA3:AA6" si="3">J3=K3+L3</f>
        <v>1</v>
      </c>
      <c r="AB3" s="153"/>
    </row>
    <row r="4" spans="1:28" s="154" customFormat="1" ht="48">
      <c r="A4" s="122">
        <v>2</v>
      </c>
      <c r="B4" s="121" t="s">
        <v>361</v>
      </c>
      <c r="C4" s="127"/>
      <c r="D4" s="121" t="s">
        <v>816</v>
      </c>
      <c r="E4" s="126">
        <v>2463011</v>
      </c>
      <c r="F4" s="206" t="s">
        <v>370</v>
      </c>
      <c r="G4" s="121"/>
      <c r="H4" s="149"/>
      <c r="I4" s="149"/>
      <c r="J4" s="149"/>
      <c r="K4" s="119"/>
      <c r="L4" s="120"/>
      <c r="M4" s="119"/>
      <c r="N4" s="119"/>
      <c r="O4" s="119"/>
      <c r="P4" s="119"/>
      <c r="Q4" s="120"/>
      <c r="R4" s="120"/>
      <c r="S4" s="120"/>
      <c r="T4" s="120"/>
      <c r="U4" s="120"/>
      <c r="V4" s="120"/>
      <c r="W4" s="120"/>
      <c r="X4" s="150" t="b">
        <f t="shared" ref="X4" si="4">K4=SUM(N4:W4)</f>
        <v>1</v>
      </c>
      <c r="Y4" s="151" t="e">
        <f t="shared" si="1"/>
        <v>#DIV/0!</v>
      </c>
      <c r="Z4" s="152" t="e">
        <f t="shared" si="2"/>
        <v>#DIV/0!</v>
      </c>
      <c r="AA4" s="152" t="b">
        <f t="shared" si="3"/>
        <v>1</v>
      </c>
      <c r="AB4" s="153"/>
    </row>
    <row r="5" spans="1:28" s="154" customFormat="1" ht="48">
      <c r="A5" s="122">
        <v>3</v>
      </c>
      <c r="B5" s="121" t="s">
        <v>362</v>
      </c>
      <c r="C5" s="127"/>
      <c r="D5" s="121" t="s">
        <v>817</v>
      </c>
      <c r="E5" s="126">
        <v>2475011</v>
      </c>
      <c r="F5" s="206" t="s">
        <v>371</v>
      </c>
      <c r="G5" s="121"/>
      <c r="H5" s="149"/>
      <c r="I5" s="149"/>
      <c r="J5" s="149"/>
      <c r="K5" s="119"/>
      <c r="L5" s="120"/>
      <c r="M5" s="119"/>
      <c r="N5" s="119"/>
      <c r="O5" s="119"/>
      <c r="P5" s="119"/>
      <c r="Q5" s="120"/>
      <c r="R5" s="120"/>
      <c r="S5" s="120"/>
      <c r="T5" s="120"/>
      <c r="U5" s="120"/>
      <c r="V5" s="120"/>
      <c r="W5" s="120"/>
      <c r="X5" s="150" t="b">
        <f t="shared" ref="X5" si="5">K5=SUM(N5:W5)</f>
        <v>1</v>
      </c>
      <c r="Y5" s="151" t="e">
        <f t="shared" si="1"/>
        <v>#DIV/0!</v>
      </c>
      <c r="Z5" s="152" t="e">
        <f t="shared" si="2"/>
        <v>#DIV/0!</v>
      </c>
      <c r="AA5" s="152" t="b">
        <f t="shared" si="3"/>
        <v>1</v>
      </c>
      <c r="AB5" s="153"/>
    </row>
    <row r="6" spans="1:28" s="160" customFormat="1" ht="60">
      <c r="A6" s="122">
        <v>4</v>
      </c>
      <c r="B6" s="155" t="s">
        <v>363</v>
      </c>
      <c r="C6" s="122"/>
      <c r="D6" s="155" t="s">
        <v>818</v>
      </c>
      <c r="E6" s="135">
        <v>2413</v>
      </c>
      <c r="F6" s="207" t="s">
        <v>372</v>
      </c>
      <c r="G6" s="122"/>
      <c r="H6" s="205"/>
      <c r="I6" s="205"/>
      <c r="J6" s="156"/>
      <c r="K6" s="41"/>
      <c r="L6" s="42"/>
      <c r="M6" s="119"/>
      <c r="N6" s="41"/>
      <c r="O6" s="42"/>
      <c r="P6" s="42"/>
      <c r="Q6" s="42"/>
      <c r="R6" s="42"/>
      <c r="S6" s="42"/>
      <c r="T6" s="42"/>
      <c r="U6" s="42"/>
      <c r="V6" s="42"/>
      <c r="W6" s="42"/>
      <c r="X6" s="148" t="b">
        <f t="shared" ref="X6" si="6">K6=SUM(N6:W6)</f>
        <v>1</v>
      </c>
      <c r="Y6" s="157" t="e">
        <f t="shared" si="1"/>
        <v>#DIV/0!</v>
      </c>
      <c r="Z6" s="158" t="e">
        <f t="shared" si="2"/>
        <v>#DIV/0!</v>
      </c>
      <c r="AA6" s="158" t="b">
        <f t="shared" si="3"/>
        <v>1</v>
      </c>
      <c r="AB6" s="159"/>
    </row>
    <row r="7" spans="1:28" s="160" customFormat="1" ht="48">
      <c r="A7" s="122">
        <v>5</v>
      </c>
      <c r="B7" s="155" t="s">
        <v>364</v>
      </c>
      <c r="C7" s="122"/>
      <c r="D7" s="155" t="s">
        <v>848</v>
      </c>
      <c r="E7" s="135">
        <v>2401</v>
      </c>
      <c r="F7" s="207" t="s">
        <v>373</v>
      </c>
      <c r="G7" s="122"/>
      <c r="H7" s="311"/>
      <c r="I7" s="269"/>
      <c r="J7" s="156"/>
      <c r="K7" s="41"/>
      <c r="L7" s="42"/>
      <c r="M7" s="146"/>
      <c r="N7" s="41"/>
      <c r="O7" s="41"/>
      <c r="P7" s="42"/>
      <c r="Q7" s="42"/>
      <c r="R7" s="42"/>
      <c r="S7" s="42"/>
      <c r="T7" s="42"/>
      <c r="U7" s="42"/>
      <c r="V7" s="42"/>
      <c r="W7" s="42"/>
      <c r="X7" s="148" t="b">
        <f t="shared" ref="X7" si="7">K7=SUM(N7:W7)</f>
        <v>1</v>
      </c>
      <c r="Y7" s="157" t="e">
        <f t="shared" ref="Y7:Y9" si="8">ROUND(K7/J7,4)</f>
        <v>#DIV/0!</v>
      </c>
      <c r="Z7" s="158" t="e">
        <f t="shared" ref="Z7:Z9" si="9">Y7=M7</f>
        <v>#DIV/0!</v>
      </c>
      <c r="AA7" s="158" t="b">
        <f t="shared" ref="AA7:AA9" si="10">J7=K7+L7</f>
        <v>1</v>
      </c>
      <c r="AB7" s="159"/>
    </row>
    <row r="8" spans="1:28" s="160" customFormat="1" ht="60">
      <c r="A8" s="122">
        <v>6</v>
      </c>
      <c r="B8" s="155" t="s">
        <v>365</v>
      </c>
      <c r="C8" s="122"/>
      <c r="D8" s="155" t="s">
        <v>849</v>
      </c>
      <c r="E8" s="135">
        <v>2404</v>
      </c>
      <c r="F8" s="207" t="s">
        <v>374</v>
      </c>
      <c r="G8" s="122"/>
      <c r="H8" s="311"/>
      <c r="I8" s="269"/>
      <c r="J8" s="156"/>
      <c r="K8" s="41"/>
      <c r="L8" s="42"/>
      <c r="M8" s="146"/>
      <c r="N8" s="41"/>
      <c r="O8" s="42"/>
      <c r="P8" s="42"/>
      <c r="Q8" s="42"/>
      <c r="R8" s="42"/>
      <c r="S8" s="42"/>
      <c r="T8" s="42"/>
      <c r="U8" s="42"/>
      <c r="V8" s="42"/>
      <c r="W8" s="42"/>
      <c r="X8" s="148" t="b">
        <f t="shared" ref="X8:X9" si="11">K8=SUM(N8:W8)</f>
        <v>1</v>
      </c>
      <c r="Y8" s="157" t="e">
        <f t="shared" si="8"/>
        <v>#DIV/0!</v>
      </c>
      <c r="Z8" s="158" t="e">
        <f t="shared" si="9"/>
        <v>#DIV/0!</v>
      </c>
      <c r="AA8" s="158" t="b">
        <f t="shared" si="10"/>
        <v>1</v>
      </c>
      <c r="AB8" s="159"/>
    </row>
    <row r="9" spans="1:28" s="160" customFormat="1" ht="48">
      <c r="A9" s="122">
        <v>7</v>
      </c>
      <c r="B9" s="155" t="s">
        <v>366</v>
      </c>
      <c r="C9" s="122"/>
      <c r="D9" s="155" t="s">
        <v>817</v>
      </c>
      <c r="E9" s="135">
        <v>2475011</v>
      </c>
      <c r="F9" s="207" t="s">
        <v>375</v>
      </c>
      <c r="G9" s="122"/>
      <c r="H9" s="311"/>
      <c r="I9" s="269"/>
      <c r="J9" s="156"/>
      <c r="K9" s="41"/>
      <c r="L9" s="42"/>
      <c r="M9" s="146"/>
      <c r="N9" s="41"/>
      <c r="O9" s="42"/>
      <c r="P9" s="42"/>
      <c r="Q9" s="42"/>
      <c r="R9" s="42"/>
      <c r="S9" s="42"/>
      <c r="T9" s="42"/>
      <c r="U9" s="42"/>
      <c r="V9" s="42"/>
      <c r="W9" s="42"/>
      <c r="X9" s="148" t="b">
        <f t="shared" si="11"/>
        <v>1</v>
      </c>
      <c r="Y9" s="157" t="e">
        <f t="shared" si="8"/>
        <v>#DIV/0!</v>
      </c>
      <c r="Z9" s="158" t="e">
        <f t="shared" si="9"/>
        <v>#DIV/0!</v>
      </c>
      <c r="AA9" s="158" t="b">
        <f t="shared" si="10"/>
        <v>1</v>
      </c>
      <c r="AB9" s="159"/>
    </row>
    <row r="10" spans="1:28" s="154" customFormat="1" ht="36">
      <c r="A10" s="122">
        <v>8</v>
      </c>
      <c r="B10" s="121" t="s">
        <v>367</v>
      </c>
      <c r="C10" s="127"/>
      <c r="D10" s="121" t="s">
        <v>856</v>
      </c>
      <c r="E10" s="126">
        <v>2408</v>
      </c>
      <c r="F10" s="206" t="s">
        <v>376</v>
      </c>
      <c r="G10" s="121"/>
      <c r="H10" s="310"/>
      <c r="I10" s="268"/>
      <c r="J10" s="149"/>
      <c r="K10" s="119"/>
      <c r="L10" s="120"/>
      <c r="M10" s="132"/>
      <c r="N10" s="119"/>
      <c r="O10" s="119"/>
      <c r="P10" s="120"/>
      <c r="Q10" s="120"/>
      <c r="R10" s="120"/>
      <c r="S10" s="120"/>
      <c r="T10" s="120"/>
      <c r="U10" s="120"/>
      <c r="V10" s="120"/>
      <c r="W10" s="120"/>
      <c r="X10" s="150" t="b">
        <f>K10=SUM(N10:W10)</f>
        <v>1</v>
      </c>
      <c r="Y10" s="151" t="e">
        <f>ROUND(K10/J10,4)</f>
        <v>#DIV/0!</v>
      </c>
      <c r="Z10" s="152" t="e">
        <f>Y10=M10</f>
        <v>#DIV/0!</v>
      </c>
      <c r="AA10" s="152" t="b">
        <f>J10=K10+L10</f>
        <v>1</v>
      </c>
      <c r="AB10" s="153"/>
    </row>
    <row r="11" spans="1:28" s="160" customFormat="1" ht="36">
      <c r="A11" s="122">
        <v>9</v>
      </c>
      <c r="B11" s="122" t="s">
        <v>368</v>
      </c>
      <c r="C11" s="122"/>
      <c r="D11" s="122" t="s">
        <v>858</v>
      </c>
      <c r="E11" s="136">
        <v>2406</v>
      </c>
      <c r="F11" s="37" t="s">
        <v>377</v>
      </c>
      <c r="G11" s="122"/>
      <c r="H11" s="311"/>
      <c r="I11" s="269"/>
      <c r="J11" s="205"/>
      <c r="K11" s="41"/>
      <c r="L11" s="42"/>
      <c r="M11" s="146"/>
      <c r="N11" s="41"/>
      <c r="O11" s="42"/>
      <c r="P11" s="42"/>
      <c r="Q11" s="42"/>
      <c r="R11" s="42"/>
      <c r="S11" s="42"/>
      <c r="T11" s="42"/>
      <c r="U11" s="42"/>
      <c r="V11" s="42"/>
      <c r="W11" s="42"/>
      <c r="X11" s="148" t="b">
        <f>K11=SUM(N11:W11)</f>
        <v>1</v>
      </c>
      <c r="Y11" s="157" t="e">
        <f>ROUND(K11/J11,4)</f>
        <v>#DIV/0!</v>
      </c>
      <c r="Z11" s="158" t="e">
        <f t="shared" ref="Z11" si="12">Y11=M11</f>
        <v>#DIV/0!</v>
      </c>
      <c r="AA11" s="158" t="b">
        <f>J11=K11+L11</f>
        <v>1</v>
      </c>
      <c r="AB11" s="159"/>
    </row>
    <row r="12" spans="1:28" s="160" customFormat="1" ht="36">
      <c r="A12" s="122">
        <v>10</v>
      </c>
      <c r="B12" s="122" t="s">
        <v>775</v>
      </c>
      <c r="C12" s="122"/>
      <c r="D12" s="122" t="s">
        <v>865</v>
      </c>
      <c r="E12" s="136">
        <v>2412</v>
      </c>
      <c r="F12" s="37" t="s">
        <v>776</v>
      </c>
      <c r="G12" s="122"/>
      <c r="H12" s="311"/>
      <c r="I12" s="269"/>
      <c r="J12" s="205"/>
      <c r="K12" s="41"/>
      <c r="L12" s="42"/>
      <c r="M12" s="146"/>
      <c r="N12" s="41"/>
      <c r="O12" s="41"/>
      <c r="P12" s="42"/>
      <c r="Q12" s="42"/>
      <c r="R12" s="42"/>
      <c r="S12" s="42"/>
      <c r="T12" s="42"/>
      <c r="U12" s="42"/>
      <c r="V12" s="42"/>
      <c r="W12" s="43"/>
      <c r="X12" s="148" t="b">
        <f>K12=SUM(N12:W12)</f>
        <v>1</v>
      </c>
      <c r="Y12" s="157" t="e">
        <f>ROUND(K12/J12,4)</f>
        <v>#DIV/0!</v>
      </c>
      <c r="Z12" s="158" t="e">
        <f t="shared" ref="Z12" si="13">Y12=M12</f>
        <v>#DIV/0!</v>
      </c>
      <c r="AA12" s="158" t="b">
        <f>J12=K12+L12</f>
        <v>1</v>
      </c>
      <c r="AB12" s="159"/>
    </row>
    <row r="13" spans="1:28" s="134" customFormat="1" ht="20.100000000000001" customHeight="1">
      <c r="A13" s="608" t="s">
        <v>42</v>
      </c>
      <c r="B13" s="608"/>
      <c r="C13" s="608"/>
      <c r="D13" s="608"/>
      <c r="E13" s="608"/>
      <c r="F13" s="608"/>
      <c r="G13" s="608"/>
      <c r="H13" s="161">
        <f>SUM(H3:H11)</f>
        <v>0</v>
      </c>
      <c r="I13" s="309" t="s">
        <v>14</v>
      </c>
      <c r="J13" s="162">
        <f>SUM(J3:J12)</f>
        <v>0</v>
      </c>
      <c r="K13" s="133">
        <f>SUM(K3:K12)</f>
        <v>0</v>
      </c>
      <c r="L13" s="133">
        <f>SUM(L3:L12)</f>
        <v>0</v>
      </c>
      <c r="M13" s="146" t="s">
        <v>14</v>
      </c>
      <c r="N13" s="163">
        <f>SUM(N10:N12)</f>
        <v>0</v>
      </c>
      <c r="O13" s="163">
        <f>SUM(O3:O12)</f>
        <v>0</v>
      </c>
      <c r="P13" s="163">
        <f t="shared" ref="P13:W13" si="14">SUM(P3:P12)</f>
        <v>0</v>
      </c>
      <c r="Q13" s="163">
        <f t="shared" si="14"/>
        <v>0</v>
      </c>
      <c r="R13" s="163">
        <f t="shared" si="14"/>
        <v>0</v>
      </c>
      <c r="S13" s="163">
        <f t="shared" si="14"/>
        <v>0</v>
      </c>
      <c r="T13" s="163">
        <f t="shared" si="14"/>
        <v>0</v>
      </c>
      <c r="U13" s="163">
        <f t="shared" si="14"/>
        <v>0</v>
      </c>
      <c r="V13" s="163">
        <f t="shared" si="14"/>
        <v>0</v>
      </c>
      <c r="W13" s="163">
        <f t="shared" si="14"/>
        <v>0</v>
      </c>
      <c r="X13" s="148" t="b">
        <f t="shared" ref="X13" si="15">K13=SUM(N13:W13)</f>
        <v>1</v>
      </c>
      <c r="Y13" s="157" t="e">
        <f t="shared" ref="Y13" si="16">ROUND(K13/J13,4)</f>
        <v>#DIV/0!</v>
      </c>
      <c r="Z13" s="158" t="s">
        <v>14</v>
      </c>
      <c r="AA13" s="158" t="b">
        <f t="shared" ref="AA13" si="17">J13=K13+L13</f>
        <v>1</v>
      </c>
      <c r="AB13" s="164"/>
    </row>
    <row r="14" spans="1:28" s="134" customFormat="1" ht="20.100000000000001" customHeight="1">
      <c r="A14" s="608" t="s">
        <v>36</v>
      </c>
      <c r="B14" s="608"/>
      <c r="C14" s="608"/>
      <c r="D14" s="608"/>
      <c r="E14" s="608"/>
      <c r="F14" s="608"/>
      <c r="G14" s="608"/>
      <c r="H14" s="161">
        <f>SUMIF($C$3:$C$11,"N",H3:H11)</f>
        <v>0</v>
      </c>
      <c r="I14" s="309" t="s">
        <v>14</v>
      </c>
      <c r="J14" s="162">
        <f>SUMIF($C$3:$C$12,"N",J3:J12)</f>
        <v>0</v>
      </c>
      <c r="K14" s="133">
        <f>SUMIF($C$3:$C$12,"N",K3:K12)</f>
        <v>0</v>
      </c>
      <c r="L14" s="133">
        <f>SUMIF($C$3:$C$12,"N",L3:L12)</f>
        <v>0</v>
      </c>
      <c r="M14" s="146" t="s">
        <v>14</v>
      </c>
      <c r="N14" s="163">
        <f>SUMIF($C$10:$C$12,"N",N10:N12)</f>
        <v>0</v>
      </c>
      <c r="O14" s="163">
        <f>SUMIF($C$3:$C$12,"N",O3:O12)</f>
        <v>0</v>
      </c>
      <c r="P14" s="163">
        <f t="shared" ref="P14:W14" si="18">SUMIF($C$3:$C$12,"N",P3:P12)</f>
        <v>0</v>
      </c>
      <c r="Q14" s="163">
        <f t="shared" si="18"/>
        <v>0</v>
      </c>
      <c r="R14" s="163">
        <f t="shared" si="18"/>
        <v>0</v>
      </c>
      <c r="S14" s="163">
        <f t="shared" si="18"/>
        <v>0</v>
      </c>
      <c r="T14" s="163">
        <f t="shared" si="18"/>
        <v>0</v>
      </c>
      <c r="U14" s="163">
        <f t="shared" si="18"/>
        <v>0</v>
      </c>
      <c r="V14" s="163">
        <f t="shared" si="18"/>
        <v>0</v>
      </c>
      <c r="W14" s="163">
        <f t="shared" si="18"/>
        <v>0</v>
      </c>
      <c r="X14" s="148" t="b">
        <f t="shared" ref="X14" si="19">K14=SUM(N14:W14)</f>
        <v>1</v>
      </c>
      <c r="Y14" s="157" t="e">
        <f t="shared" ref="Y14" si="20">ROUND(K14/J14,4)</f>
        <v>#DIV/0!</v>
      </c>
      <c r="Z14" s="158" t="s">
        <v>14</v>
      </c>
      <c r="AA14" s="158" t="b">
        <f t="shared" ref="AA14" si="21">J14=K14+L14</f>
        <v>1</v>
      </c>
      <c r="AB14" s="164"/>
    </row>
    <row r="15" spans="1:28" s="134" customFormat="1" ht="20.100000000000001" customHeight="1">
      <c r="A15" s="605" t="s">
        <v>37</v>
      </c>
      <c r="B15" s="605"/>
      <c r="C15" s="605"/>
      <c r="D15" s="605"/>
      <c r="E15" s="605"/>
      <c r="F15" s="605"/>
      <c r="G15" s="605"/>
      <c r="H15" s="165">
        <f>SUMIF($C$3:$C$11,"W",H3:H11)</f>
        <v>0</v>
      </c>
      <c r="I15" s="534" t="s">
        <v>14</v>
      </c>
      <c r="J15" s="128">
        <f>SUMIF($C$3:$C$12,"W",J3:J12)</f>
        <v>0</v>
      </c>
      <c r="K15" s="120">
        <f>SUMIF($C$3:$C$11,"W",K3:K11)</f>
        <v>0</v>
      </c>
      <c r="L15" s="120">
        <f>SUMIF($C$3:$C$12,"W",L3:L12)</f>
        <v>0</v>
      </c>
      <c r="M15" s="132" t="s">
        <v>14</v>
      </c>
      <c r="N15" s="112">
        <f>SUMIF($C$10:$C$12,"W",N10:N12)</f>
        <v>0</v>
      </c>
      <c r="O15" s="112">
        <f>SUMIF($C$3:$C$12,"W",O3:O12)</f>
        <v>0</v>
      </c>
      <c r="P15" s="112">
        <f t="shared" ref="P15:W15" si="22">SUMIF($C$3:$C$12,"W",P3:P12)</f>
        <v>0</v>
      </c>
      <c r="Q15" s="112">
        <f t="shared" si="22"/>
        <v>0</v>
      </c>
      <c r="R15" s="112">
        <f t="shared" si="22"/>
        <v>0</v>
      </c>
      <c r="S15" s="112">
        <f t="shared" si="22"/>
        <v>0</v>
      </c>
      <c r="T15" s="112">
        <f t="shared" si="22"/>
        <v>0</v>
      </c>
      <c r="U15" s="112">
        <f t="shared" si="22"/>
        <v>0</v>
      </c>
      <c r="V15" s="112">
        <f t="shared" si="22"/>
        <v>0</v>
      </c>
      <c r="W15" s="112">
        <f t="shared" si="22"/>
        <v>0</v>
      </c>
      <c r="X15" s="148" t="b">
        <f t="shared" ref="X15" si="23">K15=SUM(N15:W15)</f>
        <v>1</v>
      </c>
      <c r="Y15" s="157" t="e">
        <f t="shared" ref="Y15" si="24">ROUND(K15/J15,4)</f>
        <v>#DIV/0!</v>
      </c>
      <c r="Z15" s="158" t="s">
        <v>14</v>
      </c>
      <c r="AA15" s="158" t="b">
        <f t="shared" ref="AA15" si="25">J15=K15+L15</f>
        <v>1</v>
      </c>
      <c r="AB15" s="164"/>
    </row>
    <row r="16" spans="1:28" s="134" customFormat="1" ht="12">
      <c r="A16" s="147"/>
      <c r="B16" s="148"/>
      <c r="C16" s="148"/>
      <c r="D16" s="148"/>
      <c r="E16" s="148"/>
      <c r="G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</row>
    <row r="17" spans="1:23">
      <c r="A17" s="278" t="s">
        <v>22</v>
      </c>
      <c r="W17" s="27"/>
    </row>
    <row r="18" spans="1:23">
      <c r="A18" s="279" t="s">
        <v>23</v>
      </c>
      <c r="W18" s="27"/>
    </row>
    <row r="19" spans="1:23">
      <c r="A19" s="278" t="s">
        <v>33</v>
      </c>
      <c r="W19" s="27"/>
    </row>
    <row r="20" spans="1:23">
      <c r="A20" s="144"/>
    </row>
  </sheetData>
  <mergeCells count="17">
    <mergeCell ref="A15:G15"/>
    <mergeCell ref="I1:I2"/>
    <mergeCell ref="A1:A2"/>
    <mergeCell ref="B1:B2"/>
    <mergeCell ref="C1:C2"/>
    <mergeCell ref="F1:F2"/>
    <mergeCell ref="G1:G2"/>
    <mergeCell ref="H1:H2"/>
    <mergeCell ref="D1:D2"/>
    <mergeCell ref="A13:G13"/>
    <mergeCell ref="E1:E2"/>
    <mergeCell ref="A14:G14"/>
    <mergeCell ref="J1:J2"/>
    <mergeCell ref="K1:K2"/>
    <mergeCell ref="L1:L2"/>
    <mergeCell ref="M1:M2"/>
    <mergeCell ref="N1:W1"/>
  </mergeCells>
  <conditionalFormatting sqref="AA15 X10:AB11">
    <cfRule type="cellIs" dxfId="51" priority="44" operator="equal">
      <formula>FALSE</formula>
    </cfRule>
  </conditionalFormatting>
  <conditionalFormatting sqref="AB15">
    <cfRule type="cellIs" dxfId="50" priority="49" operator="equal">
      <formula>FALSE</formula>
    </cfRule>
  </conditionalFormatting>
  <conditionalFormatting sqref="AB15">
    <cfRule type="cellIs" dxfId="49" priority="48" operator="equal">
      <formula>FALSE</formula>
    </cfRule>
  </conditionalFormatting>
  <conditionalFormatting sqref="Y15:Z15">
    <cfRule type="cellIs" dxfId="48" priority="47" operator="equal">
      <formula>FALSE</formula>
    </cfRule>
  </conditionalFormatting>
  <conditionalFormatting sqref="X15">
    <cfRule type="cellIs" dxfId="47" priority="46" operator="equal">
      <formula>FALSE</formula>
    </cfRule>
  </conditionalFormatting>
  <conditionalFormatting sqref="X15:Z15 X10:Z11">
    <cfRule type="containsText" dxfId="46" priority="45" operator="containsText" text="fałsz">
      <formula>NOT(ISERROR(SEARCH("fałsz",X10)))</formula>
    </cfRule>
  </conditionalFormatting>
  <conditionalFormatting sqref="AA15">
    <cfRule type="cellIs" dxfId="45" priority="43" operator="equal">
      <formula>FALSE</formula>
    </cfRule>
  </conditionalFormatting>
  <conditionalFormatting sqref="AB13:AB14">
    <cfRule type="cellIs" dxfId="44" priority="42" operator="equal">
      <formula>FALSE</formula>
    </cfRule>
  </conditionalFormatting>
  <conditionalFormatting sqref="AB13:AB14">
    <cfRule type="cellIs" dxfId="43" priority="41" operator="equal">
      <formula>FALSE</formula>
    </cfRule>
  </conditionalFormatting>
  <conditionalFormatting sqref="Y13:Z13">
    <cfRule type="cellIs" dxfId="42" priority="40" operator="equal">
      <formula>FALSE</formula>
    </cfRule>
  </conditionalFormatting>
  <conditionalFormatting sqref="X13">
    <cfRule type="cellIs" dxfId="41" priority="39" operator="equal">
      <formula>FALSE</formula>
    </cfRule>
  </conditionalFormatting>
  <conditionalFormatting sqref="X13:Z13">
    <cfRule type="containsText" dxfId="40" priority="38" operator="containsText" text="fałsz">
      <formula>NOT(ISERROR(SEARCH("fałsz",X13)))</formula>
    </cfRule>
  </conditionalFormatting>
  <conditionalFormatting sqref="AA13">
    <cfRule type="cellIs" dxfId="39" priority="37" operator="equal">
      <formula>FALSE</formula>
    </cfRule>
  </conditionalFormatting>
  <conditionalFormatting sqref="AA13">
    <cfRule type="cellIs" dxfId="38" priority="36" operator="equal">
      <formula>FALSE</formula>
    </cfRule>
  </conditionalFormatting>
  <conditionalFormatting sqref="Y14:Z14">
    <cfRule type="cellIs" dxfId="37" priority="35" operator="equal">
      <formula>FALSE</formula>
    </cfRule>
  </conditionalFormatting>
  <conditionalFormatting sqref="X14">
    <cfRule type="cellIs" dxfId="36" priority="34" operator="equal">
      <formula>FALSE</formula>
    </cfRule>
  </conditionalFormatting>
  <conditionalFormatting sqref="X14:Z14">
    <cfRule type="containsText" dxfId="35" priority="33" operator="containsText" text="fałsz">
      <formula>NOT(ISERROR(SEARCH("fałsz",X14)))</formula>
    </cfRule>
  </conditionalFormatting>
  <conditionalFormatting sqref="AA14">
    <cfRule type="cellIs" dxfId="34" priority="32" operator="equal">
      <formula>FALSE</formula>
    </cfRule>
  </conditionalFormatting>
  <conditionalFormatting sqref="AA14">
    <cfRule type="cellIs" dxfId="33" priority="31" operator="equal">
      <formula>FALSE</formula>
    </cfRule>
  </conditionalFormatting>
  <conditionalFormatting sqref="AA7:AA8">
    <cfRule type="cellIs" dxfId="32" priority="25" operator="equal">
      <formula>FALSE</formula>
    </cfRule>
  </conditionalFormatting>
  <conditionalFormatting sqref="AB7:AB8">
    <cfRule type="cellIs" dxfId="31" priority="30" operator="equal">
      <formula>FALSE</formula>
    </cfRule>
  </conditionalFormatting>
  <conditionalFormatting sqref="AB7:AB8">
    <cfRule type="cellIs" dxfId="30" priority="29" operator="equal">
      <formula>FALSE</formula>
    </cfRule>
  </conditionalFormatting>
  <conditionalFormatting sqref="Y7:Z8">
    <cfRule type="cellIs" dxfId="29" priority="28" operator="equal">
      <formula>FALSE</formula>
    </cfRule>
  </conditionalFormatting>
  <conditionalFormatting sqref="X7:X8">
    <cfRule type="cellIs" dxfId="28" priority="27" operator="equal">
      <formula>FALSE</formula>
    </cfRule>
  </conditionalFormatting>
  <conditionalFormatting sqref="X7:Z8">
    <cfRule type="containsText" dxfId="27" priority="26" operator="containsText" text="fałsz">
      <formula>NOT(ISERROR(SEARCH("fałsz",X7)))</formula>
    </cfRule>
  </conditionalFormatting>
  <conditionalFormatting sqref="AA7:AA8">
    <cfRule type="cellIs" dxfId="26" priority="24" operator="equal">
      <formula>FALSE</formula>
    </cfRule>
  </conditionalFormatting>
  <conditionalFormatting sqref="AA5:AA6">
    <cfRule type="cellIs" dxfId="25" priority="18" operator="equal">
      <formula>FALSE</formula>
    </cfRule>
  </conditionalFormatting>
  <conditionalFormatting sqref="AB5:AB6">
    <cfRule type="cellIs" dxfId="24" priority="23" operator="equal">
      <formula>FALSE</formula>
    </cfRule>
  </conditionalFormatting>
  <conditionalFormatting sqref="AB5:AB6">
    <cfRule type="cellIs" dxfId="23" priority="22" operator="equal">
      <formula>FALSE</formula>
    </cfRule>
  </conditionalFormatting>
  <conditionalFormatting sqref="Y5:Z6">
    <cfRule type="cellIs" dxfId="22" priority="21" operator="equal">
      <formula>FALSE</formula>
    </cfRule>
  </conditionalFormatting>
  <conditionalFormatting sqref="X5:X6">
    <cfRule type="cellIs" dxfId="21" priority="20" operator="equal">
      <formula>FALSE</formula>
    </cfRule>
  </conditionalFormatting>
  <conditionalFormatting sqref="X5:Z6">
    <cfRule type="containsText" dxfId="20" priority="19" operator="containsText" text="fałsz">
      <formula>NOT(ISERROR(SEARCH("fałsz",X5)))</formula>
    </cfRule>
  </conditionalFormatting>
  <conditionalFormatting sqref="AA5:AA6">
    <cfRule type="cellIs" dxfId="19" priority="17" operator="equal">
      <formula>FALSE</formula>
    </cfRule>
  </conditionalFormatting>
  <conditionalFormatting sqref="AA3:AA4">
    <cfRule type="cellIs" dxfId="18" priority="11" operator="equal">
      <formula>FALSE</formula>
    </cfRule>
  </conditionalFormatting>
  <conditionalFormatting sqref="AB3:AB4">
    <cfRule type="cellIs" dxfId="17" priority="16" operator="equal">
      <formula>FALSE</formula>
    </cfRule>
  </conditionalFormatting>
  <conditionalFormatting sqref="AB3:AB4">
    <cfRule type="cellIs" dxfId="16" priority="15" operator="equal">
      <formula>FALSE</formula>
    </cfRule>
  </conditionalFormatting>
  <conditionalFormatting sqref="Y3:Z4">
    <cfRule type="cellIs" dxfId="15" priority="14" operator="equal">
      <formula>FALSE</formula>
    </cfRule>
  </conditionalFormatting>
  <conditionalFormatting sqref="X3:X4">
    <cfRule type="cellIs" dxfId="14" priority="13" operator="equal">
      <formula>FALSE</formula>
    </cfRule>
  </conditionalFormatting>
  <conditionalFormatting sqref="X3:Z4">
    <cfRule type="containsText" dxfId="13" priority="12" operator="containsText" text="fałsz">
      <formula>NOT(ISERROR(SEARCH("fałsz",X3)))</formula>
    </cfRule>
  </conditionalFormatting>
  <conditionalFormatting sqref="AA3:AA4">
    <cfRule type="cellIs" dxfId="12" priority="10" operator="equal">
      <formula>FALSE</formula>
    </cfRule>
  </conditionalFormatting>
  <conditionalFormatting sqref="AA9">
    <cfRule type="cellIs" dxfId="11" priority="4" operator="equal">
      <formula>FALSE</formula>
    </cfRule>
  </conditionalFormatting>
  <conditionalFormatting sqref="AB9">
    <cfRule type="cellIs" dxfId="10" priority="9" operator="equal">
      <formula>FALSE</formula>
    </cfRule>
  </conditionalFormatting>
  <conditionalFormatting sqref="AB9">
    <cfRule type="cellIs" dxfId="9" priority="8" operator="equal">
      <formula>FALSE</formula>
    </cfRule>
  </conditionalFormatting>
  <conditionalFormatting sqref="Y9:Z9">
    <cfRule type="cellIs" dxfId="8" priority="7" operator="equal">
      <formula>FALSE</formula>
    </cfRule>
  </conditionalFormatting>
  <conditionalFormatting sqref="X9">
    <cfRule type="cellIs" dxfId="7" priority="6" operator="equal">
      <formula>FALSE</formula>
    </cfRule>
  </conditionalFormatting>
  <conditionalFormatting sqref="X9:Z9">
    <cfRule type="containsText" dxfId="6" priority="5" operator="containsText" text="fałsz">
      <formula>NOT(ISERROR(SEARCH("fałsz",X9)))</formula>
    </cfRule>
  </conditionalFormatting>
  <conditionalFormatting sqref="AA9">
    <cfRule type="cellIs" dxfId="5" priority="3" operator="equal">
      <formula>FALSE</formula>
    </cfRule>
  </conditionalFormatting>
  <conditionalFormatting sqref="X12:AB12">
    <cfRule type="cellIs" dxfId="4" priority="1" operator="equal">
      <formula>FALSE</formula>
    </cfRule>
  </conditionalFormatting>
  <conditionalFormatting sqref="X12:Z12">
    <cfRule type="containsText" dxfId="3" priority="2" operator="containsText" text="fałsz">
      <formula>NOT(ISERROR(SEARCH("fałsz",X12)))</formula>
    </cfRule>
  </conditionalFormatting>
  <dataValidations count="3">
    <dataValidation type="custom" allowBlank="1" showInputMessage="1" showErrorMessage="1" sqref="B3:B11 J3:J12 F3:F12 D3:D10 H3:I6">
      <formula1>NOT(B3)</formula1>
    </dataValidation>
    <dataValidation type="list" allowBlank="1" showInputMessage="1" showErrorMessage="1" sqref="C3:C12">
      <formula1>"N,W"</formula1>
    </dataValidation>
    <dataValidation type="list" allowBlank="1" showInputMessage="1" showErrorMessage="1" sqref="G3:G12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showGridLines="0" view="pageBreakPreview" zoomScale="130" zoomScaleNormal="78" zoomScaleSheetLayoutView="130" workbookViewId="0">
      <selection activeCell="A16" sqref="A1:XFD1048576"/>
    </sheetView>
  </sheetViews>
  <sheetFormatPr defaultColWidth="27.5703125" defaultRowHeight="12"/>
  <cols>
    <col min="1" max="1" width="5" style="148" customWidth="1"/>
    <col min="2" max="2" width="12" style="134" customWidth="1"/>
    <col min="3" max="3" width="12.42578125" style="134" customWidth="1"/>
    <col min="4" max="4" width="30" style="134" customWidth="1"/>
    <col min="5" max="5" width="10.7109375" style="134" customWidth="1"/>
    <col min="6" max="6" width="12.7109375" style="148" customWidth="1"/>
    <col min="7" max="7" width="38.7109375" style="134" customWidth="1"/>
    <col min="8" max="8" width="8.7109375" style="134" customWidth="1"/>
    <col min="9" max="9" width="13.85546875" style="134" customWidth="1"/>
    <col min="10" max="10" width="15.85546875" style="148" customWidth="1"/>
    <col min="11" max="11" width="13.28515625" style="134" customWidth="1"/>
    <col min="12" max="12" width="13.140625" style="134" customWidth="1"/>
    <col min="13" max="13" width="12.5703125" style="134" customWidth="1"/>
    <col min="14" max="14" width="12.28515625" style="148" customWidth="1"/>
    <col min="15" max="15" width="9.85546875" style="134" customWidth="1"/>
    <col min="16" max="16" width="11.140625" style="134" customWidth="1"/>
    <col min="17" max="17" width="10.5703125" style="134" customWidth="1"/>
    <col min="18" max="24" width="9.85546875" style="134" customWidth="1"/>
    <col min="25" max="16384" width="27.5703125" style="134"/>
  </cols>
  <sheetData>
    <row r="1" spans="1:28" ht="20.100000000000001" customHeight="1">
      <c r="A1" s="623" t="s">
        <v>4</v>
      </c>
      <c r="B1" s="623" t="s">
        <v>5</v>
      </c>
      <c r="C1" s="624" t="s">
        <v>808</v>
      </c>
      <c r="D1" s="611" t="s">
        <v>6</v>
      </c>
      <c r="E1" s="611" t="s">
        <v>30</v>
      </c>
      <c r="F1" s="611" t="s">
        <v>15</v>
      </c>
      <c r="G1" s="623" t="s">
        <v>7</v>
      </c>
      <c r="H1" s="623" t="s">
        <v>24</v>
      </c>
      <c r="I1" s="623" t="s">
        <v>8</v>
      </c>
      <c r="J1" s="623" t="s">
        <v>25</v>
      </c>
      <c r="K1" s="623" t="s">
        <v>9</v>
      </c>
      <c r="L1" s="623" t="s">
        <v>10</v>
      </c>
      <c r="M1" s="611" t="s">
        <v>13</v>
      </c>
      <c r="N1" s="623" t="s">
        <v>11</v>
      </c>
      <c r="O1" s="623" t="s">
        <v>12</v>
      </c>
      <c r="P1" s="623"/>
      <c r="Q1" s="623"/>
      <c r="R1" s="623"/>
      <c r="S1" s="623"/>
      <c r="T1" s="623"/>
      <c r="U1" s="623"/>
      <c r="V1" s="623"/>
      <c r="W1" s="623"/>
      <c r="X1" s="623"/>
      <c r="Y1" s="298"/>
      <c r="Z1" s="298"/>
      <c r="AA1" s="298"/>
      <c r="AB1" s="298"/>
    </row>
    <row r="2" spans="1:28" ht="28.5" customHeight="1">
      <c r="A2" s="623"/>
      <c r="B2" s="623"/>
      <c r="C2" s="625"/>
      <c r="D2" s="612"/>
      <c r="E2" s="612"/>
      <c r="F2" s="612"/>
      <c r="G2" s="623"/>
      <c r="H2" s="623"/>
      <c r="I2" s="623"/>
      <c r="J2" s="623"/>
      <c r="K2" s="623"/>
      <c r="L2" s="623"/>
      <c r="M2" s="612"/>
      <c r="N2" s="623"/>
      <c r="O2" s="536">
        <v>2019</v>
      </c>
      <c r="P2" s="536">
        <v>2020</v>
      </c>
      <c r="Q2" s="536">
        <v>2021</v>
      </c>
      <c r="R2" s="536">
        <v>2022</v>
      </c>
      <c r="S2" s="536">
        <v>2023</v>
      </c>
      <c r="T2" s="536">
        <v>2024</v>
      </c>
      <c r="U2" s="536">
        <v>2025</v>
      </c>
      <c r="V2" s="536">
        <v>2026</v>
      </c>
      <c r="W2" s="536">
        <v>2027</v>
      </c>
      <c r="X2" s="536">
        <v>2028</v>
      </c>
      <c r="Y2" s="453" t="s">
        <v>26</v>
      </c>
      <c r="Z2" s="453" t="s">
        <v>27</v>
      </c>
      <c r="AA2" s="453" t="s">
        <v>28</v>
      </c>
      <c r="AB2" s="280" t="s">
        <v>29</v>
      </c>
    </row>
    <row r="3" spans="1:28" s="160" customFormat="1" ht="45">
      <c r="A3" s="246">
        <v>1</v>
      </c>
      <c r="B3" s="281" t="s">
        <v>343</v>
      </c>
      <c r="C3" s="247"/>
      <c r="D3" s="246" t="s">
        <v>834</v>
      </c>
      <c r="E3" s="288">
        <v>2415041</v>
      </c>
      <c r="F3" s="246" t="s">
        <v>298</v>
      </c>
      <c r="G3" s="289" t="s">
        <v>353</v>
      </c>
      <c r="H3" s="246"/>
      <c r="I3" s="250"/>
      <c r="J3" s="251"/>
      <c r="K3" s="454"/>
      <c r="L3" s="253"/>
      <c r="M3" s="254"/>
      <c r="N3" s="271"/>
      <c r="O3" s="253"/>
      <c r="P3" s="253"/>
      <c r="Q3" s="254"/>
      <c r="R3" s="254"/>
      <c r="S3" s="282"/>
      <c r="T3" s="282"/>
      <c r="U3" s="282"/>
      <c r="V3" s="282"/>
      <c r="W3" s="282"/>
      <c r="X3" s="282"/>
      <c r="Y3" s="455" t="b">
        <f t="shared" ref="Y3:Y23" si="0">L3=SUM(O3:X3)</f>
        <v>1</v>
      </c>
      <c r="Z3" s="456" t="e">
        <f t="shared" ref="Z3:Z23" si="1">ROUND(L3/K3,4)</f>
        <v>#DIV/0!</v>
      </c>
      <c r="AA3" s="457" t="e">
        <f t="shared" ref="AA3:AA23" si="2">Z3=N3</f>
        <v>#DIV/0!</v>
      </c>
      <c r="AB3" s="457" t="b">
        <f t="shared" ref="AB3:AB23" si="3">K3=L3+M3</f>
        <v>1</v>
      </c>
    </row>
    <row r="4" spans="1:28" ht="33.75">
      <c r="A4" s="281">
        <v>2</v>
      </c>
      <c r="B4" s="285" t="s">
        <v>344</v>
      </c>
      <c r="C4" s="247"/>
      <c r="D4" s="246" t="s">
        <v>839</v>
      </c>
      <c r="E4" s="288">
        <v>2410012</v>
      </c>
      <c r="F4" s="246" t="s">
        <v>412</v>
      </c>
      <c r="G4" s="286" t="s">
        <v>354</v>
      </c>
      <c r="H4" s="246"/>
      <c r="I4" s="250"/>
      <c r="J4" s="251"/>
      <c r="K4" s="287"/>
      <c r="L4" s="253"/>
      <c r="M4" s="254"/>
      <c r="N4" s="271"/>
      <c r="O4" s="253"/>
      <c r="P4" s="253"/>
      <c r="Q4" s="252"/>
      <c r="R4" s="252"/>
      <c r="S4" s="282"/>
      <c r="T4" s="282"/>
      <c r="U4" s="282"/>
      <c r="V4" s="282"/>
      <c r="W4" s="282"/>
      <c r="X4" s="282"/>
      <c r="Y4" s="455" t="b">
        <f t="shared" si="0"/>
        <v>1</v>
      </c>
      <c r="Z4" s="456" t="e">
        <f t="shared" si="1"/>
        <v>#DIV/0!</v>
      </c>
      <c r="AA4" s="457" t="e">
        <f t="shared" si="2"/>
        <v>#DIV/0!</v>
      </c>
      <c r="AB4" s="457" t="b">
        <f t="shared" si="3"/>
        <v>1</v>
      </c>
    </row>
    <row r="5" spans="1:28" ht="33.75">
      <c r="A5" s="281">
        <v>3</v>
      </c>
      <c r="B5" s="285" t="s">
        <v>345</v>
      </c>
      <c r="C5" s="247"/>
      <c r="D5" s="246" t="s">
        <v>835</v>
      </c>
      <c r="E5" s="288">
        <v>2401021</v>
      </c>
      <c r="F5" s="246" t="s">
        <v>332</v>
      </c>
      <c r="G5" s="286" t="s">
        <v>355</v>
      </c>
      <c r="H5" s="246"/>
      <c r="I5" s="250"/>
      <c r="J5" s="251"/>
      <c r="K5" s="287"/>
      <c r="L5" s="253"/>
      <c r="M5" s="254"/>
      <c r="N5" s="271"/>
      <c r="O5" s="253"/>
      <c r="P5" s="252"/>
      <c r="Q5" s="252"/>
      <c r="R5" s="252"/>
      <c r="S5" s="282"/>
      <c r="T5" s="282"/>
      <c r="U5" s="282"/>
      <c r="V5" s="282"/>
      <c r="W5" s="282"/>
      <c r="X5" s="282"/>
      <c r="Y5" s="455" t="b">
        <f t="shared" si="0"/>
        <v>1</v>
      </c>
      <c r="Z5" s="456" t="e">
        <f t="shared" si="1"/>
        <v>#DIV/0!</v>
      </c>
      <c r="AA5" s="457" t="e">
        <f t="shared" si="2"/>
        <v>#DIV/0!</v>
      </c>
      <c r="AB5" s="457" t="b">
        <f t="shared" si="3"/>
        <v>1</v>
      </c>
    </row>
    <row r="6" spans="1:28" s="154" customFormat="1" ht="33.75">
      <c r="A6" s="240">
        <v>4</v>
      </c>
      <c r="B6" s="240" t="s">
        <v>347</v>
      </c>
      <c r="C6" s="241"/>
      <c r="D6" s="227" t="s">
        <v>840</v>
      </c>
      <c r="E6" s="292">
        <v>2408021</v>
      </c>
      <c r="F6" s="227" t="s">
        <v>291</v>
      </c>
      <c r="G6" s="340" t="s">
        <v>814</v>
      </c>
      <c r="H6" s="227"/>
      <c r="I6" s="244"/>
      <c r="J6" s="245"/>
      <c r="K6" s="283"/>
      <c r="L6" s="233"/>
      <c r="M6" s="232"/>
      <c r="N6" s="270"/>
      <c r="O6" s="233"/>
      <c r="P6" s="233"/>
      <c r="Q6" s="236"/>
      <c r="R6" s="236"/>
      <c r="S6" s="284"/>
      <c r="T6" s="284"/>
      <c r="U6" s="284"/>
      <c r="V6" s="284"/>
      <c r="W6" s="284"/>
      <c r="X6" s="284"/>
      <c r="Y6" s="455" t="b">
        <f t="shared" si="0"/>
        <v>1</v>
      </c>
      <c r="Z6" s="456" t="e">
        <f t="shared" si="1"/>
        <v>#DIV/0!</v>
      </c>
      <c r="AA6" s="457" t="e">
        <f t="shared" si="2"/>
        <v>#DIV/0!</v>
      </c>
      <c r="AB6" s="457" t="b">
        <f t="shared" si="3"/>
        <v>1</v>
      </c>
    </row>
    <row r="7" spans="1:28" ht="33.75">
      <c r="A7" s="281">
        <v>5</v>
      </c>
      <c r="B7" s="285" t="s">
        <v>348</v>
      </c>
      <c r="C7" s="247"/>
      <c r="D7" s="246" t="s">
        <v>841</v>
      </c>
      <c r="E7" s="255">
        <v>2473011</v>
      </c>
      <c r="F7" s="246" t="s">
        <v>413</v>
      </c>
      <c r="G7" s="286" t="s">
        <v>357</v>
      </c>
      <c r="H7" s="246"/>
      <c r="I7" s="250"/>
      <c r="J7" s="251"/>
      <c r="K7" s="287"/>
      <c r="L7" s="253"/>
      <c r="M7" s="254"/>
      <c r="N7" s="271"/>
      <c r="O7" s="253"/>
      <c r="P7" s="253"/>
      <c r="Q7" s="252"/>
      <c r="R7" s="252"/>
      <c r="S7" s="252"/>
      <c r="T7" s="252"/>
      <c r="U7" s="252"/>
      <c r="V7" s="252"/>
      <c r="W7" s="252"/>
      <c r="X7" s="252"/>
      <c r="Y7" s="455" t="b">
        <f t="shared" si="0"/>
        <v>1</v>
      </c>
      <c r="Z7" s="456" t="e">
        <f t="shared" si="1"/>
        <v>#DIV/0!</v>
      </c>
      <c r="AA7" s="457" t="e">
        <f t="shared" si="2"/>
        <v>#DIV/0!</v>
      </c>
      <c r="AB7" s="457" t="b">
        <f t="shared" si="3"/>
        <v>1</v>
      </c>
    </row>
    <row r="8" spans="1:28" ht="33.75">
      <c r="A8" s="281">
        <v>6</v>
      </c>
      <c r="B8" s="285" t="s">
        <v>350</v>
      </c>
      <c r="C8" s="247"/>
      <c r="D8" s="246" t="s">
        <v>845</v>
      </c>
      <c r="E8" s="288">
        <v>2401021</v>
      </c>
      <c r="F8" s="246" t="s">
        <v>332</v>
      </c>
      <c r="G8" s="286" t="s">
        <v>359</v>
      </c>
      <c r="H8" s="246"/>
      <c r="I8" s="250"/>
      <c r="J8" s="251"/>
      <c r="K8" s="287"/>
      <c r="L8" s="253"/>
      <c r="M8" s="254"/>
      <c r="N8" s="271"/>
      <c r="O8" s="253"/>
      <c r="P8" s="253"/>
      <c r="Q8" s="252"/>
      <c r="R8" s="252"/>
      <c r="S8" s="252"/>
      <c r="T8" s="252"/>
      <c r="U8" s="252"/>
      <c r="V8" s="252"/>
      <c r="W8" s="252"/>
      <c r="X8" s="252"/>
      <c r="Y8" s="455" t="b">
        <f t="shared" si="0"/>
        <v>1</v>
      </c>
      <c r="Z8" s="456" t="e">
        <f t="shared" si="1"/>
        <v>#DIV/0!</v>
      </c>
      <c r="AA8" s="457" t="e">
        <f t="shared" si="2"/>
        <v>#DIV/0!</v>
      </c>
      <c r="AB8" s="457" t="b">
        <f t="shared" si="3"/>
        <v>1</v>
      </c>
    </row>
    <row r="9" spans="1:28" s="154" customFormat="1" ht="33.75">
      <c r="A9" s="227">
        <v>7</v>
      </c>
      <c r="B9" s="240" t="s">
        <v>346</v>
      </c>
      <c r="C9" s="241"/>
      <c r="D9" s="227" t="s">
        <v>846</v>
      </c>
      <c r="E9" s="292">
        <v>2409053</v>
      </c>
      <c r="F9" s="227" t="s">
        <v>319</v>
      </c>
      <c r="G9" s="340" t="s">
        <v>356</v>
      </c>
      <c r="H9" s="227"/>
      <c r="I9" s="244"/>
      <c r="J9" s="245"/>
      <c r="K9" s="283"/>
      <c r="L9" s="233"/>
      <c r="M9" s="232"/>
      <c r="N9" s="270"/>
      <c r="O9" s="233"/>
      <c r="P9" s="233"/>
      <c r="Q9" s="236"/>
      <c r="R9" s="236"/>
      <c r="S9" s="236"/>
      <c r="T9" s="236"/>
      <c r="U9" s="236"/>
      <c r="V9" s="236"/>
      <c r="W9" s="236"/>
      <c r="X9" s="236"/>
      <c r="Y9" s="455" t="b">
        <f t="shared" si="0"/>
        <v>1</v>
      </c>
      <c r="Z9" s="456" t="e">
        <f t="shared" si="1"/>
        <v>#DIV/0!</v>
      </c>
      <c r="AA9" s="457" t="e">
        <f t="shared" si="2"/>
        <v>#DIV/0!</v>
      </c>
      <c r="AB9" s="457" t="b">
        <f t="shared" si="3"/>
        <v>1</v>
      </c>
    </row>
    <row r="10" spans="1:28" s="160" customFormat="1" ht="33" customHeight="1">
      <c r="A10" s="246">
        <v>8</v>
      </c>
      <c r="B10" s="281" t="s">
        <v>352</v>
      </c>
      <c r="C10" s="247"/>
      <c r="D10" s="246" t="s">
        <v>847</v>
      </c>
      <c r="E10" s="288" t="s">
        <v>534</v>
      </c>
      <c r="F10" s="246" t="s">
        <v>294</v>
      </c>
      <c r="G10" s="289" t="s">
        <v>796</v>
      </c>
      <c r="H10" s="246"/>
      <c r="I10" s="250"/>
      <c r="J10" s="251"/>
      <c r="K10" s="290"/>
      <c r="L10" s="253"/>
      <c r="M10" s="254"/>
      <c r="N10" s="271"/>
      <c r="O10" s="253"/>
      <c r="P10" s="253"/>
      <c r="Q10" s="252"/>
      <c r="R10" s="252"/>
      <c r="S10" s="252"/>
      <c r="T10" s="252"/>
      <c r="U10" s="252"/>
      <c r="V10" s="252"/>
      <c r="W10" s="252"/>
      <c r="X10" s="252"/>
      <c r="Y10" s="455" t="b">
        <f t="shared" si="0"/>
        <v>1</v>
      </c>
      <c r="Z10" s="456" t="e">
        <f t="shared" si="1"/>
        <v>#DIV/0!</v>
      </c>
      <c r="AA10" s="457" t="e">
        <f t="shared" si="2"/>
        <v>#DIV/0!</v>
      </c>
      <c r="AB10" s="457" t="b">
        <f t="shared" si="3"/>
        <v>1</v>
      </c>
    </row>
    <row r="11" spans="1:28" s="154" customFormat="1" ht="33.75">
      <c r="A11" s="240">
        <v>9</v>
      </c>
      <c r="B11" s="291" t="s">
        <v>787</v>
      </c>
      <c r="C11" s="241"/>
      <c r="D11" s="227" t="s">
        <v>852</v>
      </c>
      <c r="E11" s="292">
        <v>2464011</v>
      </c>
      <c r="F11" s="227" t="s">
        <v>314</v>
      </c>
      <c r="G11" s="340" t="s">
        <v>778</v>
      </c>
      <c r="H11" s="227"/>
      <c r="I11" s="244"/>
      <c r="J11" s="245"/>
      <c r="K11" s="293"/>
      <c r="L11" s="233"/>
      <c r="M11" s="232"/>
      <c r="N11" s="270"/>
      <c r="O11" s="233"/>
      <c r="P11" s="233"/>
      <c r="Q11" s="236"/>
      <c r="R11" s="236"/>
      <c r="S11" s="236"/>
      <c r="T11" s="236"/>
      <c r="U11" s="236"/>
      <c r="V11" s="236"/>
      <c r="W11" s="236"/>
      <c r="X11" s="236"/>
      <c r="Y11" s="455" t="b">
        <f t="shared" si="0"/>
        <v>1</v>
      </c>
      <c r="Z11" s="456" t="e">
        <f t="shared" si="1"/>
        <v>#DIV/0!</v>
      </c>
      <c r="AA11" s="457" t="e">
        <f t="shared" si="2"/>
        <v>#DIV/0!</v>
      </c>
      <c r="AB11" s="457" t="b">
        <f t="shared" si="3"/>
        <v>1</v>
      </c>
    </row>
    <row r="12" spans="1:28" ht="33.75">
      <c r="A12" s="281">
        <v>10</v>
      </c>
      <c r="B12" s="294" t="s">
        <v>788</v>
      </c>
      <c r="C12" s="247"/>
      <c r="D12" s="246" t="s">
        <v>861</v>
      </c>
      <c r="E12" s="288">
        <v>2404122</v>
      </c>
      <c r="F12" s="246" t="s">
        <v>409</v>
      </c>
      <c r="G12" s="286" t="s">
        <v>779</v>
      </c>
      <c r="H12" s="246"/>
      <c r="I12" s="250"/>
      <c r="J12" s="251"/>
      <c r="K12" s="295"/>
      <c r="L12" s="253"/>
      <c r="M12" s="254"/>
      <c r="N12" s="271"/>
      <c r="O12" s="253"/>
      <c r="P12" s="253"/>
      <c r="Q12" s="252"/>
      <c r="R12" s="252"/>
      <c r="S12" s="252"/>
      <c r="T12" s="252"/>
      <c r="U12" s="252"/>
      <c r="V12" s="252"/>
      <c r="W12" s="252"/>
      <c r="X12" s="252"/>
      <c r="Y12" s="455" t="b">
        <f t="shared" si="0"/>
        <v>1</v>
      </c>
      <c r="Z12" s="456" t="e">
        <f t="shared" si="1"/>
        <v>#DIV/0!</v>
      </c>
      <c r="AA12" s="457" t="e">
        <f t="shared" si="2"/>
        <v>#DIV/0!</v>
      </c>
      <c r="AB12" s="457" t="b">
        <f t="shared" si="3"/>
        <v>1</v>
      </c>
    </row>
    <row r="13" spans="1:28" s="154" customFormat="1" ht="45">
      <c r="A13" s="240">
        <v>11</v>
      </c>
      <c r="B13" s="291" t="s">
        <v>789</v>
      </c>
      <c r="C13" s="241"/>
      <c r="D13" s="246" t="s">
        <v>862</v>
      </c>
      <c r="E13" s="292" t="s">
        <v>584</v>
      </c>
      <c r="F13" s="227" t="s">
        <v>329</v>
      </c>
      <c r="G13" s="340" t="s">
        <v>780</v>
      </c>
      <c r="H13" s="227"/>
      <c r="I13" s="244"/>
      <c r="J13" s="245"/>
      <c r="K13" s="293"/>
      <c r="L13" s="233"/>
      <c r="M13" s="232"/>
      <c r="N13" s="270"/>
      <c r="O13" s="233"/>
      <c r="P13" s="233"/>
      <c r="Q13" s="236"/>
      <c r="R13" s="236"/>
      <c r="S13" s="236"/>
      <c r="T13" s="236"/>
      <c r="U13" s="236"/>
      <c r="V13" s="236"/>
      <c r="W13" s="236"/>
      <c r="X13" s="236"/>
      <c r="Y13" s="455" t="b">
        <f t="shared" si="0"/>
        <v>1</v>
      </c>
      <c r="Z13" s="456" t="e">
        <f t="shared" si="1"/>
        <v>#DIV/0!</v>
      </c>
      <c r="AA13" s="457" t="e">
        <f t="shared" si="2"/>
        <v>#DIV/0!</v>
      </c>
      <c r="AB13" s="457" t="b">
        <f t="shared" si="3"/>
        <v>1</v>
      </c>
    </row>
    <row r="14" spans="1:28" s="154" customFormat="1" ht="33.75">
      <c r="A14" s="240">
        <v>12</v>
      </c>
      <c r="B14" s="291" t="s">
        <v>791</v>
      </c>
      <c r="C14" s="241"/>
      <c r="D14" s="227" t="s">
        <v>867</v>
      </c>
      <c r="E14" s="292" t="s">
        <v>587</v>
      </c>
      <c r="F14" s="227" t="s">
        <v>329</v>
      </c>
      <c r="G14" s="340" t="s">
        <v>782</v>
      </c>
      <c r="H14" s="227"/>
      <c r="I14" s="244"/>
      <c r="J14" s="245"/>
      <c r="K14" s="295"/>
      <c r="L14" s="233"/>
      <c r="M14" s="232"/>
      <c r="N14" s="270"/>
      <c r="O14" s="233"/>
      <c r="P14" s="233"/>
      <c r="Q14" s="236"/>
      <c r="R14" s="236"/>
      <c r="S14" s="236"/>
      <c r="T14" s="236"/>
      <c r="U14" s="236"/>
      <c r="V14" s="236"/>
      <c r="W14" s="236"/>
      <c r="X14" s="236"/>
      <c r="Y14" s="455" t="b">
        <f t="shared" si="0"/>
        <v>1</v>
      </c>
      <c r="Z14" s="456" t="e">
        <f t="shared" si="1"/>
        <v>#DIV/0!</v>
      </c>
      <c r="AA14" s="457" t="e">
        <f t="shared" si="2"/>
        <v>#DIV/0!</v>
      </c>
      <c r="AB14" s="457" t="b">
        <f t="shared" si="3"/>
        <v>1</v>
      </c>
    </row>
    <row r="15" spans="1:28" ht="33.75">
      <c r="A15" s="281">
        <v>13</v>
      </c>
      <c r="B15" s="294" t="s">
        <v>792</v>
      </c>
      <c r="C15" s="247"/>
      <c r="D15" s="246" t="s">
        <v>869</v>
      </c>
      <c r="E15" s="288" t="s">
        <v>502</v>
      </c>
      <c r="F15" s="246" t="s">
        <v>405</v>
      </c>
      <c r="G15" s="286" t="s">
        <v>783</v>
      </c>
      <c r="H15" s="246"/>
      <c r="I15" s="250"/>
      <c r="J15" s="251"/>
      <c r="K15" s="295"/>
      <c r="L15" s="253"/>
      <c r="M15" s="254"/>
      <c r="N15" s="271"/>
      <c r="O15" s="253"/>
      <c r="P15" s="253"/>
      <c r="Q15" s="252"/>
      <c r="R15" s="252"/>
      <c r="S15" s="252"/>
      <c r="T15" s="252"/>
      <c r="U15" s="252"/>
      <c r="V15" s="252"/>
      <c r="W15" s="252"/>
      <c r="X15" s="252"/>
      <c r="Y15" s="455" t="b">
        <f t="shared" si="0"/>
        <v>1</v>
      </c>
      <c r="Z15" s="456" t="e">
        <f t="shared" si="1"/>
        <v>#DIV/0!</v>
      </c>
      <c r="AA15" s="457" t="e">
        <f t="shared" si="2"/>
        <v>#DIV/0!</v>
      </c>
      <c r="AB15" s="457" t="b">
        <f t="shared" si="3"/>
        <v>1</v>
      </c>
    </row>
    <row r="16" spans="1:28" s="154" customFormat="1" ht="33.75">
      <c r="A16" s="240">
        <v>14</v>
      </c>
      <c r="B16" s="291" t="s">
        <v>793</v>
      </c>
      <c r="C16" s="241"/>
      <c r="D16" s="227" t="s">
        <v>870</v>
      </c>
      <c r="E16" s="292" t="s">
        <v>602</v>
      </c>
      <c r="F16" s="227" t="s">
        <v>308</v>
      </c>
      <c r="G16" s="340" t="s">
        <v>784</v>
      </c>
      <c r="H16" s="227"/>
      <c r="I16" s="244"/>
      <c r="J16" s="245"/>
      <c r="K16" s="295"/>
      <c r="L16" s="233"/>
      <c r="M16" s="232"/>
      <c r="N16" s="270"/>
      <c r="O16" s="233"/>
      <c r="P16" s="233"/>
      <c r="Q16" s="236"/>
      <c r="R16" s="236"/>
      <c r="S16" s="236"/>
      <c r="T16" s="236"/>
      <c r="U16" s="236"/>
      <c r="V16" s="236"/>
      <c r="W16" s="236"/>
      <c r="X16" s="236"/>
      <c r="Y16" s="455" t="b">
        <f t="shared" si="0"/>
        <v>1</v>
      </c>
      <c r="Z16" s="456" t="e">
        <f t="shared" si="1"/>
        <v>#DIV/0!</v>
      </c>
      <c r="AA16" s="457" t="e">
        <f t="shared" si="2"/>
        <v>#DIV/0!</v>
      </c>
      <c r="AB16" s="457" t="b">
        <f t="shared" si="3"/>
        <v>1</v>
      </c>
    </row>
    <row r="17" spans="1:28" ht="33.75">
      <c r="A17" s="281">
        <v>15</v>
      </c>
      <c r="B17" s="294" t="s">
        <v>794</v>
      </c>
      <c r="C17" s="247"/>
      <c r="D17" s="343" t="s">
        <v>871</v>
      </c>
      <c r="E17" s="288" t="s">
        <v>450</v>
      </c>
      <c r="F17" s="246" t="s">
        <v>468</v>
      </c>
      <c r="G17" s="286" t="s">
        <v>785</v>
      </c>
      <c r="H17" s="246"/>
      <c r="I17" s="250"/>
      <c r="J17" s="251"/>
      <c r="K17" s="295"/>
      <c r="L17" s="253"/>
      <c r="M17" s="254"/>
      <c r="N17" s="271"/>
      <c r="O17" s="253"/>
      <c r="P17" s="253"/>
      <c r="Q17" s="252"/>
      <c r="R17" s="252"/>
      <c r="S17" s="252"/>
      <c r="T17" s="252"/>
      <c r="U17" s="252"/>
      <c r="V17" s="252"/>
      <c r="W17" s="252"/>
      <c r="X17" s="252"/>
      <c r="Y17" s="455" t="b">
        <f t="shared" si="0"/>
        <v>1</v>
      </c>
      <c r="Z17" s="456" t="e">
        <f t="shared" si="1"/>
        <v>#DIV/0!</v>
      </c>
      <c r="AA17" s="457" t="e">
        <f t="shared" si="2"/>
        <v>#DIV/0!</v>
      </c>
      <c r="AB17" s="457" t="b">
        <f t="shared" si="3"/>
        <v>1</v>
      </c>
    </row>
    <row r="18" spans="1:28" s="154" customFormat="1" ht="33.75">
      <c r="A18" s="240">
        <v>16</v>
      </c>
      <c r="B18" s="291" t="s">
        <v>795</v>
      </c>
      <c r="C18" s="241"/>
      <c r="D18" s="227" t="s">
        <v>874</v>
      </c>
      <c r="E18" s="292" t="s">
        <v>555</v>
      </c>
      <c r="F18" s="227" t="s">
        <v>319</v>
      </c>
      <c r="G18" s="340" t="s">
        <v>786</v>
      </c>
      <c r="H18" s="227"/>
      <c r="I18" s="244"/>
      <c r="J18" s="245"/>
      <c r="K18" s="295"/>
      <c r="L18" s="233"/>
      <c r="M18" s="232"/>
      <c r="N18" s="270"/>
      <c r="O18" s="233"/>
      <c r="P18" s="233"/>
      <c r="Q18" s="236"/>
      <c r="R18" s="236"/>
      <c r="S18" s="236"/>
      <c r="T18" s="236"/>
      <c r="U18" s="236"/>
      <c r="V18" s="236"/>
      <c r="W18" s="236"/>
      <c r="X18" s="236"/>
      <c r="Y18" s="455" t="b">
        <f t="shared" si="0"/>
        <v>1</v>
      </c>
      <c r="Z18" s="456" t="e">
        <f t="shared" si="1"/>
        <v>#DIV/0!</v>
      </c>
      <c r="AA18" s="457" t="e">
        <f t="shared" si="2"/>
        <v>#DIV/0!</v>
      </c>
      <c r="AB18" s="457" t="b">
        <f t="shared" si="3"/>
        <v>1</v>
      </c>
    </row>
    <row r="19" spans="1:28" ht="33.75">
      <c r="A19" s="281">
        <v>17</v>
      </c>
      <c r="B19" s="294" t="s">
        <v>800</v>
      </c>
      <c r="C19" s="247"/>
      <c r="D19" s="343" t="s">
        <v>876</v>
      </c>
      <c r="E19" s="288" t="s">
        <v>492</v>
      </c>
      <c r="F19" s="246" t="s">
        <v>305</v>
      </c>
      <c r="G19" s="286" t="s">
        <v>802</v>
      </c>
      <c r="H19" s="246"/>
      <c r="I19" s="250"/>
      <c r="J19" s="251"/>
      <c r="K19" s="295"/>
      <c r="L19" s="253"/>
      <c r="M19" s="254"/>
      <c r="N19" s="271"/>
      <c r="O19" s="253"/>
      <c r="P19" s="253"/>
      <c r="Q19" s="252"/>
      <c r="R19" s="252"/>
      <c r="S19" s="252"/>
      <c r="T19" s="252"/>
      <c r="U19" s="252"/>
      <c r="V19" s="252"/>
      <c r="W19" s="252"/>
      <c r="X19" s="252"/>
      <c r="Y19" s="455" t="b">
        <f t="shared" si="0"/>
        <v>1</v>
      </c>
      <c r="Z19" s="456" t="e">
        <f t="shared" si="1"/>
        <v>#DIV/0!</v>
      </c>
      <c r="AA19" s="457" t="e">
        <f t="shared" si="2"/>
        <v>#DIV/0!</v>
      </c>
      <c r="AB19" s="457" t="b">
        <f t="shared" si="3"/>
        <v>1</v>
      </c>
    </row>
    <row r="20" spans="1:28" ht="33.75">
      <c r="A20" s="281">
        <v>18</v>
      </c>
      <c r="B20" s="294" t="s">
        <v>801</v>
      </c>
      <c r="C20" s="247"/>
      <c r="D20" s="343" t="s">
        <v>878</v>
      </c>
      <c r="E20" s="288" t="s">
        <v>497</v>
      </c>
      <c r="F20" s="246" t="s">
        <v>405</v>
      </c>
      <c r="G20" s="286" t="s">
        <v>803</v>
      </c>
      <c r="H20" s="246"/>
      <c r="I20" s="250"/>
      <c r="J20" s="251"/>
      <c r="K20" s="295"/>
      <c r="L20" s="253"/>
      <c r="M20" s="254"/>
      <c r="N20" s="271"/>
      <c r="O20" s="253"/>
      <c r="P20" s="253"/>
      <c r="Q20" s="252"/>
      <c r="R20" s="252"/>
      <c r="S20" s="252"/>
      <c r="T20" s="252"/>
      <c r="U20" s="252"/>
      <c r="V20" s="252"/>
      <c r="W20" s="252"/>
      <c r="X20" s="252"/>
      <c r="Y20" s="455" t="b">
        <f t="shared" si="0"/>
        <v>1</v>
      </c>
      <c r="Z20" s="456" t="e">
        <f t="shared" si="1"/>
        <v>#DIV/0!</v>
      </c>
      <c r="AA20" s="457" t="e">
        <f t="shared" si="2"/>
        <v>#DIV/0!</v>
      </c>
      <c r="AB20" s="457" t="b">
        <f t="shared" si="3"/>
        <v>1</v>
      </c>
    </row>
    <row r="21" spans="1:28" ht="20.100000000000001" customHeight="1">
      <c r="A21" s="620" t="s">
        <v>42</v>
      </c>
      <c r="B21" s="621"/>
      <c r="C21" s="621"/>
      <c r="D21" s="621"/>
      <c r="E21" s="621"/>
      <c r="F21" s="621"/>
      <c r="G21" s="621"/>
      <c r="H21" s="622"/>
      <c r="I21" s="262">
        <f>SUM(I3:I20)</f>
        <v>0</v>
      </c>
      <c r="J21" s="458" t="s">
        <v>14</v>
      </c>
      <c r="K21" s="296">
        <f>SUM(K3:K20)</f>
        <v>0</v>
      </c>
      <c r="L21" s="459">
        <f>SUM(L3:L20)</f>
        <v>0</v>
      </c>
      <c r="M21" s="459">
        <f>SUM(M3:M20)</f>
        <v>0</v>
      </c>
      <c r="N21" s="271" t="s">
        <v>14</v>
      </c>
      <c r="O21" s="460">
        <f>SUM(O8:O17)</f>
        <v>0</v>
      </c>
      <c r="P21" s="460">
        <f t="shared" ref="P21:X21" si="4">SUM(P3:P20)</f>
        <v>0</v>
      </c>
      <c r="Q21" s="460">
        <f t="shared" si="4"/>
        <v>0</v>
      </c>
      <c r="R21" s="460">
        <f t="shared" si="4"/>
        <v>0</v>
      </c>
      <c r="S21" s="460">
        <f t="shared" si="4"/>
        <v>0</v>
      </c>
      <c r="T21" s="460">
        <f t="shared" si="4"/>
        <v>0</v>
      </c>
      <c r="U21" s="460">
        <f t="shared" si="4"/>
        <v>0</v>
      </c>
      <c r="V21" s="460">
        <f t="shared" si="4"/>
        <v>0</v>
      </c>
      <c r="W21" s="460">
        <f t="shared" si="4"/>
        <v>0</v>
      </c>
      <c r="X21" s="460">
        <f t="shared" si="4"/>
        <v>0</v>
      </c>
      <c r="Y21" s="455" t="b">
        <f t="shared" si="0"/>
        <v>1</v>
      </c>
      <c r="Z21" s="456" t="e">
        <f t="shared" si="1"/>
        <v>#DIV/0!</v>
      </c>
      <c r="AA21" s="457" t="e">
        <f t="shared" si="2"/>
        <v>#DIV/0!</v>
      </c>
      <c r="AB21" s="457" t="b">
        <f t="shared" si="3"/>
        <v>1</v>
      </c>
    </row>
    <row r="22" spans="1:28" ht="20.100000000000001" customHeight="1">
      <c r="A22" s="620" t="s">
        <v>36</v>
      </c>
      <c r="B22" s="621"/>
      <c r="C22" s="621"/>
      <c r="D22" s="621"/>
      <c r="E22" s="621"/>
      <c r="F22" s="621"/>
      <c r="G22" s="621"/>
      <c r="H22" s="622"/>
      <c r="I22" s="262">
        <f>SUMIF($C$3:$C$20,"N",I3:I20)</f>
        <v>0</v>
      </c>
      <c r="J22" s="458" t="s">
        <v>14</v>
      </c>
      <c r="K22" s="296">
        <f>SUMIF($C$3:$C$20,"N",K3:K20)</f>
        <v>0</v>
      </c>
      <c r="L22" s="459">
        <f>SUMIF($C$3:$C$20,"N",L3:L20)</f>
        <v>0</v>
      </c>
      <c r="M22" s="459">
        <f>SUMIF($C$3:$C$20,"N",M3:M20)</f>
        <v>0</v>
      </c>
      <c r="N22" s="271" t="s">
        <v>14</v>
      </c>
      <c r="O22" s="460">
        <f>SUMIF($C$8:$C$17,"N",O8:O17)</f>
        <v>0</v>
      </c>
      <c r="P22" s="460">
        <f t="shared" ref="P22:X22" si="5">SUMIF($C$3:$C$20,"N",P3:P20)</f>
        <v>0</v>
      </c>
      <c r="Q22" s="460">
        <f t="shared" si="5"/>
        <v>0</v>
      </c>
      <c r="R22" s="460">
        <f t="shared" si="5"/>
        <v>0</v>
      </c>
      <c r="S22" s="460">
        <f t="shared" si="5"/>
        <v>0</v>
      </c>
      <c r="T22" s="460">
        <f t="shared" si="5"/>
        <v>0</v>
      </c>
      <c r="U22" s="460">
        <f t="shared" si="5"/>
        <v>0</v>
      </c>
      <c r="V22" s="460">
        <f t="shared" si="5"/>
        <v>0</v>
      </c>
      <c r="W22" s="460">
        <f t="shared" si="5"/>
        <v>0</v>
      </c>
      <c r="X22" s="460">
        <f t="shared" si="5"/>
        <v>0</v>
      </c>
      <c r="Y22" s="455" t="b">
        <f t="shared" si="0"/>
        <v>1</v>
      </c>
      <c r="Z22" s="456" t="e">
        <f t="shared" si="1"/>
        <v>#DIV/0!</v>
      </c>
      <c r="AA22" s="457" t="e">
        <f t="shared" si="2"/>
        <v>#DIV/0!</v>
      </c>
      <c r="AB22" s="457" t="b">
        <f t="shared" si="3"/>
        <v>1</v>
      </c>
    </row>
    <row r="23" spans="1:28" ht="20.100000000000001" customHeight="1">
      <c r="A23" s="617" t="s">
        <v>37</v>
      </c>
      <c r="B23" s="618"/>
      <c r="C23" s="618"/>
      <c r="D23" s="618"/>
      <c r="E23" s="618"/>
      <c r="F23" s="618"/>
      <c r="G23" s="618"/>
      <c r="H23" s="619"/>
      <c r="I23" s="266">
        <f>SUMIF($C$3:$C$20,"W",I3:I20)</f>
        <v>0</v>
      </c>
      <c r="J23" s="267" t="s">
        <v>14</v>
      </c>
      <c r="K23" s="297">
        <f>SUMIF($C$3:$C$20,"W",K3:K20)</f>
        <v>0</v>
      </c>
      <c r="L23" s="342">
        <f>SUMIF($C$3:$C$20,"W",L3:L20)</f>
        <v>0</v>
      </c>
      <c r="M23" s="342">
        <f>SUMIF($C$3:$C$20,"W",M3:M20)</f>
        <v>0</v>
      </c>
      <c r="N23" s="270" t="s">
        <v>14</v>
      </c>
      <c r="O23" s="232">
        <f>SUMIF($C$8:$C$17,"W",O8:O17)</f>
        <v>0</v>
      </c>
      <c r="P23" s="232">
        <f t="shared" ref="P23:X23" si="6">SUMIF($C$3:$C$20,"W",P3:P20)</f>
        <v>0</v>
      </c>
      <c r="Q23" s="232">
        <f t="shared" si="6"/>
        <v>0</v>
      </c>
      <c r="R23" s="232">
        <f t="shared" si="6"/>
        <v>0</v>
      </c>
      <c r="S23" s="232">
        <f t="shared" si="6"/>
        <v>0</v>
      </c>
      <c r="T23" s="232">
        <f t="shared" si="6"/>
        <v>0</v>
      </c>
      <c r="U23" s="232">
        <f t="shared" si="6"/>
        <v>0</v>
      </c>
      <c r="V23" s="232">
        <f t="shared" si="6"/>
        <v>0</v>
      </c>
      <c r="W23" s="232">
        <f t="shared" si="6"/>
        <v>0</v>
      </c>
      <c r="X23" s="232">
        <f t="shared" si="6"/>
        <v>0</v>
      </c>
      <c r="Y23" s="455" t="b">
        <f t="shared" si="0"/>
        <v>1</v>
      </c>
      <c r="Z23" s="456" t="e">
        <f t="shared" si="1"/>
        <v>#DIV/0!</v>
      </c>
      <c r="AA23" s="457" t="e">
        <f t="shared" si="2"/>
        <v>#DIV/0!</v>
      </c>
      <c r="AB23" s="457" t="b">
        <f t="shared" si="3"/>
        <v>1</v>
      </c>
    </row>
    <row r="24" spans="1:28" ht="24" customHeight="1">
      <c r="A24" s="614" t="s">
        <v>23</v>
      </c>
      <c r="B24" s="615"/>
      <c r="C24" s="615"/>
      <c r="D24" s="616"/>
      <c r="E24" s="298"/>
      <c r="F24" s="453"/>
      <c r="G24" s="298"/>
      <c r="H24" s="298"/>
      <c r="I24" s="298"/>
      <c r="J24" s="453"/>
      <c r="K24" s="298"/>
      <c r="L24" s="298"/>
      <c r="M24" s="298"/>
      <c r="N24" s="298"/>
      <c r="O24" s="298"/>
      <c r="P24" s="298"/>
      <c r="Q24" s="298"/>
      <c r="R24" s="298"/>
      <c r="S24" s="298"/>
      <c r="T24" s="298"/>
      <c r="U24" s="298"/>
      <c r="V24" s="298"/>
      <c r="W24" s="298"/>
      <c r="X24" s="298"/>
      <c r="Y24" s="298"/>
      <c r="Z24" s="298"/>
      <c r="AA24" s="298"/>
      <c r="AB24" s="461"/>
    </row>
    <row r="25" spans="1:28" ht="24" customHeight="1">
      <c r="A25" s="609" t="s">
        <v>22</v>
      </c>
      <c r="B25" s="610"/>
      <c r="C25" s="610"/>
      <c r="D25" s="610"/>
      <c r="E25" s="298"/>
      <c r="F25" s="453"/>
      <c r="G25" s="298"/>
      <c r="H25" s="298"/>
      <c r="I25" s="298"/>
      <c r="J25" s="453"/>
      <c r="K25" s="298"/>
      <c r="L25" s="298"/>
      <c r="M25" s="298"/>
      <c r="N25" s="453"/>
      <c r="O25" s="298"/>
      <c r="P25" s="298"/>
      <c r="Q25" s="298"/>
      <c r="R25" s="298"/>
      <c r="S25" s="298"/>
      <c r="T25" s="298"/>
      <c r="U25" s="298"/>
      <c r="V25" s="298"/>
      <c r="W25" s="298"/>
      <c r="X25" s="298"/>
      <c r="Y25" s="298"/>
      <c r="Z25" s="298"/>
      <c r="AA25" s="298"/>
      <c r="AB25" s="461"/>
    </row>
    <row r="26" spans="1:28" ht="12.75" customHeight="1">
      <c r="A26" s="609" t="s">
        <v>33</v>
      </c>
      <c r="B26" s="613"/>
      <c r="C26" s="613"/>
      <c r="D26" s="462"/>
      <c r="E26" s="298"/>
      <c r="F26" s="453"/>
      <c r="G26" s="298"/>
      <c r="H26" s="298"/>
      <c r="I26" s="298"/>
      <c r="J26" s="453"/>
      <c r="K26" s="298"/>
      <c r="L26" s="298"/>
      <c r="M26" s="298"/>
      <c r="N26" s="453"/>
      <c r="O26" s="298"/>
      <c r="P26" s="298"/>
      <c r="Q26" s="298"/>
      <c r="R26" s="298"/>
      <c r="S26" s="298"/>
      <c r="T26" s="298"/>
      <c r="U26" s="298"/>
      <c r="V26" s="298"/>
      <c r="W26" s="298"/>
      <c r="X26" s="298"/>
      <c r="Y26" s="298"/>
      <c r="Z26" s="298"/>
      <c r="AA26" s="298"/>
      <c r="AB26" s="461"/>
    </row>
    <row r="27" spans="1:28" ht="12.75" customHeight="1">
      <c r="A27" s="463"/>
      <c r="B27" s="298"/>
      <c r="C27" s="298"/>
      <c r="D27" s="298"/>
      <c r="E27" s="298"/>
      <c r="F27" s="453"/>
      <c r="G27" s="298"/>
      <c r="H27" s="298"/>
      <c r="I27" s="298"/>
      <c r="J27" s="453"/>
      <c r="K27" s="298"/>
      <c r="L27" s="298"/>
      <c r="M27" s="298"/>
      <c r="N27" s="453"/>
      <c r="O27" s="298"/>
      <c r="P27" s="298"/>
      <c r="Q27" s="298"/>
      <c r="R27" s="298"/>
      <c r="S27" s="298"/>
      <c r="T27" s="298"/>
      <c r="U27" s="298"/>
      <c r="V27" s="298"/>
      <c r="W27" s="298"/>
      <c r="X27" s="298"/>
      <c r="Y27" s="298"/>
      <c r="Z27" s="298"/>
      <c r="AA27" s="298"/>
      <c r="AB27" s="298"/>
    </row>
    <row r="28" spans="1:28">
      <c r="A28" s="200"/>
    </row>
    <row r="29" spans="1:28">
      <c r="A29" s="144"/>
    </row>
  </sheetData>
  <mergeCells count="21">
    <mergeCell ref="O1:X1"/>
    <mergeCell ref="M1:M2"/>
    <mergeCell ref="N1:N2"/>
    <mergeCell ref="I1:I2"/>
    <mergeCell ref="J1:J2"/>
    <mergeCell ref="K1:K2"/>
    <mergeCell ref="L1:L2"/>
    <mergeCell ref="A25:D25"/>
    <mergeCell ref="D1:D2"/>
    <mergeCell ref="E1:E2"/>
    <mergeCell ref="A26:C26"/>
    <mergeCell ref="A24:D24"/>
    <mergeCell ref="A23:H23"/>
    <mergeCell ref="A22:H22"/>
    <mergeCell ref="A21:H21"/>
    <mergeCell ref="A1:A2"/>
    <mergeCell ref="B1:B2"/>
    <mergeCell ref="C1:C2"/>
    <mergeCell ref="F1:F2"/>
    <mergeCell ref="G1:G2"/>
    <mergeCell ref="H1:H2"/>
  </mergeCells>
  <conditionalFormatting sqref="AB24:AB26 Y3:AB23">
    <cfRule type="cellIs" dxfId="2" priority="52" operator="equal">
      <formula>FALSE</formula>
    </cfRule>
  </conditionalFormatting>
  <dataValidations count="2">
    <dataValidation type="custom" allowBlank="1" showInputMessage="1" showErrorMessage="1" sqref="G3:G9 B3:B9 B11:B20 D5 K10:K20 G11:G20 D3 D11:D13">
      <formula1>NOT(B3)</formula1>
    </dataValidation>
    <dataValidation type="list" allowBlank="1" showInputMessage="1" showErrorMessage="1" sqref="C3:C9 C11:C20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65" fitToHeight="0" orientation="landscape" r:id="rId1"/>
  <headerFooter>
    <oddHeader>&amp;LWojewództwo &amp;K000000śląskie&amp;K01+000 - zadania gminne lista rezerwowa</oddHeader>
    <oddFooter>Strona &amp;P z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4" operator="containsText" text="fałsz" id="{A55E2F35-DE09-4E7A-81F1-70FD42B5BDA2}">
            <xm:f>NOT(ISERROR(SEARCH("fałsz",'gm podst'!Y21)))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Y3:AA7</xm:sqref>
        </x14:conditionalFormatting>
        <x14:conditionalFormatting xmlns:xm="http://schemas.microsoft.com/office/excel/2006/main">
          <x14:cfRule type="containsText" priority="58" operator="containsText" text="fałsz" id="{A55E2F35-DE09-4E7A-81F1-70FD42B5BDA2}">
            <xm:f>NOT(ISERROR(SEARCH("fałsz",'gm podst'!Y27)))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Y8:AA13</xm:sqref>
        </x14:conditionalFormatting>
        <x14:conditionalFormatting xmlns:xm="http://schemas.microsoft.com/office/excel/2006/main">
          <x14:cfRule type="containsText" priority="63" operator="containsText" text="fałsz" id="{A55E2F35-DE09-4E7A-81F1-70FD42B5BDA2}">
            <xm:f>NOT(ISERROR(SEARCH("fałsz",'gm podst'!Y34)))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Y14:AA23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"/>
  <sheetViews>
    <sheetView showGridLines="0" view="pageBreakPreview" zoomScale="130" zoomScaleNormal="78" zoomScaleSheetLayoutView="130" workbookViewId="0">
      <selection activeCell="F14" sqref="F14"/>
    </sheetView>
  </sheetViews>
  <sheetFormatPr defaultColWidth="9.140625" defaultRowHeight="15"/>
  <cols>
    <col min="1" max="1" width="5" style="11" customWidth="1"/>
    <col min="2" max="2" width="19.7109375" style="11" customWidth="1"/>
    <col min="3" max="3" width="8.28515625" style="11" customWidth="1"/>
    <col min="4" max="4" width="22.28515625" style="11" customWidth="1"/>
    <col min="5" max="5" width="15.7109375" style="1" customWidth="1"/>
    <col min="6" max="16384" width="9.140625" style="11"/>
  </cols>
  <sheetData>
    <row r="1" spans="1:6" ht="20.100000000000001" customHeight="1">
      <c r="A1" s="626" t="s">
        <v>4</v>
      </c>
      <c r="B1" s="627" t="s">
        <v>6</v>
      </c>
      <c r="C1" s="629" t="s">
        <v>30</v>
      </c>
      <c r="D1" s="629" t="s">
        <v>43</v>
      </c>
      <c r="E1" s="626" t="s">
        <v>11</v>
      </c>
    </row>
    <row r="2" spans="1:6" ht="39" customHeight="1">
      <c r="A2" s="626"/>
      <c r="B2" s="628"/>
      <c r="C2" s="630"/>
      <c r="D2" s="630"/>
      <c r="E2" s="626"/>
    </row>
    <row r="3" spans="1:6" s="33" customFormat="1">
      <c r="A3" s="37">
        <v>1</v>
      </c>
      <c r="B3" s="137" t="s">
        <v>439</v>
      </c>
      <c r="C3" s="138">
        <v>2406</v>
      </c>
      <c r="D3" s="96">
        <v>0.74303954695078289</v>
      </c>
      <c r="E3" s="39">
        <v>0.7</v>
      </c>
      <c r="F3" s="34"/>
    </row>
    <row r="4" spans="1:6" s="33" customFormat="1">
      <c r="A4" s="37">
        <v>2</v>
      </c>
      <c r="B4" s="137" t="s">
        <v>449</v>
      </c>
      <c r="C4" s="138">
        <v>2417</v>
      </c>
      <c r="D4" s="96">
        <v>0.76624181601918595</v>
      </c>
      <c r="E4" s="39">
        <v>0.65</v>
      </c>
      <c r="F4" s="34"/>
    </row>
    <row r="5" spans="1:6" s="33" customFormat="1">
      <c r="A5" s="37">
        <v>3</v>
      </c>
      <c r="B5" s="137" t="s">
        <v>442</v>
      </c>
      <c r="C5" s="138">
        <v>2409</v>
      </c>
      <c r="D5" s="96">
        <v>0.79925463997266721</v>
      </c>
      <c r="E5" s="39">
        <v>0.65</v>
      </c>
      <c r="F5" s="34"/>
    </row>
    <row r="6" spans="1:6">
      <c r="A6" s="37">
        <v>4</v>
      </c>
      <c r="B6" s="137" t="s">
        <v>438</v>
      </c>
      <c r="C6" s="138">
        <v>2405</v>
      </c>
      <c r="D6" s="96">
        <v>0.84088963712906828</v>
      </c>
      <c r="E6" s="39">
        <v>0.6</v>
      </c>
    </row>
    <row r="7" spans="1:6">
      <c r="A7" s="37">
        <v>5</v>
      </c>
      <c r="B7" s="137" t="s">
        <v>445</v>
      </c>
      <c r="C7" s="138">
        <v>2412</v>
      </c>
      <c r="D7" s="96">
        <v>0.84692796133058657</v>
      </c>
      <c r="E7" s="39">
        <v>0.6</v>
      </c>
    </row>
    <row r="8" spans="1:6">
      <c r="A8" s="37">
        <v>6</v>
      </c>
      <c r="B8" s="38" t="s">
        <v>434</v>
      </c>
      <c r="C8" s="38">
        <v>2402</v>
      </c>
      <c r="D8" s="96">
        <v>0.85010787800298504</v>
      </c>
      <c r="E8" s="39">
        <v>0.55000000000000004</v>
      </c>
    </row>
    <row r="9" spans="1:6">
      <c r="A9" s="37">
        <v>7</v>
      </c>
      <c r="B9" s="38" t="s">
        <v>433</v>
      </c>
      <c r="C9" s="38">
        <v>2401</v>
      </c>
      <c r="D9" s="96">
        <v>0.85885601356322183</v>
      </c>
      <c r="E9" s="39">
        <v>0.55000000000000004</v>
      </c>
    </row>
    <row r="10" spans="1:6">
      <c r="A10" s="37">
        <v>8</v>
      </c>
      <c r="B10" s="137" t="s">
        <v>436</v>
      </c>
      <c r="C10" s="138">
        <v>2403</v>
      </c>
      <c r="D10" s="96">
        <v>0.86167848641167832</v>
      </c>
      <c r="E10" s="39">
        <v>0.55000000000000004</v>
      </c>
    </row>
    <row r="11" spans="1:6">
      <c r="A11" s="37">
        <v>9</v>
      </c>
      <c r="B11" s="137" t="s">
        <v>443</v>
      </c>
      <c r="C11" s="138">
        <v>2410</v>
      </c>
      <c r="D11" s="96">
        <v>0.86864221551048226</v>
      </c>
      <c r="E11" s="39">
        <v>0.55000000000000004</v>
      </c>
    </row>
    <row r="12" spans="1:6">
      <c r="A12" s="37">
        <v>10</v>
      </c>
      <c r="B12" s="137" t="s">
        <v>444</v>
      </c>
      <c r="C12" s="138">
        <v>2411</v>
      </c>
      <c r="D12" s="96">
        <v>0.87035549576563054</v>
      </c>
      <c r="E12" s="39">
        <v>0.55000000000000004</v>
      </c>
    </row>
    <row r="13" spans="1:6">
      <c r="A13" s="37">
        <v>11</v>
      </c>
      <c r="B13" s="137" t="s">
        <v>441</v>
      </c>
      <c r="C13" s="138">
        <v>2408</v>
      </c>
      <c r="D13" s="96">
        <v>0.89233606137102173</v>
      </c>
      <c r="E13" s="39">
        <v>0.55000000000000004</v>
      </c>
    </row>
    <row r="14" spans="1:6">
      <c r="A14" s="37">
        <v>12</v>
      </c>
      <c r="B14" s="137" t="s">
        <v>448</v>
      </c>
      <c r="C14" s="138">
        <v>2416</v>
      </c>
      <c r="D14" s="96">
        <v>0.89485975981595367</v>
      </c>
      <c r="E14" s="39">
        <v>0.55000000000000004</v>
      </c>
    </row>
    <row r="15" spans="1:6">
      <c r="A15" s="37">
        <v>13</v>
      </c>
      <c r="B15" s="137" t="s">
        <v>446</v>
      </c>
      <c r="C15" s="138">
        <v>2413</v>
      </c>
      <c r="D15" s="96">
        <v>0.96134815275566898</v>
      </c>
      <c r="E15" s="39">
        <v>0.5</v>
      </c>
    </row>
    <row r="16" spans="1:6">
      <c r="A16" s="37">
        <v>14</v>
      </c>
      <c r="B16" s="137" t="s">
        <v>437</v>
      </c>
      <c r="C16" s="138">
        <v>2404</v>
      </c>
      <c r="D16" s="96">
        <v>0.96209598760996851</v>
      </c>
      <c r="E16" s="39">
        <v>0.5</v>
      </c>
    </row>
    <row r="17" spans="1:5">
      <c r="A17" s="37">
        <v>15</v>
      </c>
      <c r="B17" s="137" t="s">
        <v>447</v>
      </c>
      <c r="C17" s="138">
        <v>2415</v>
      </c>
      <c r="D17" s="96">
        <v>0.96448146361214315</v>
      </c>
      <c r="E17" s="39">
        <v>0.5</v>
      </c>
    </row>
    <row r="18" spans="1:5" ht="24">
      <c r="A18" s="37">
        <v>16</v>
      </c>
      <c r="B18" s="38" t="s">
        <v>435</v>
      </c>
      <c r="C18" s="38">
        <v>2414</v>
      </c>
      <c r="D18" s="96">
        <v>0.97302674855532578</v>
      </c>
      <c r="E18" s="39">
        <v>0.5</v>
      </c>
    </row>
    <row r="19" spans="1:5">
      <c r="A19" s="37">
        <v>17</v>
      </c>
      <c r="B19" s="137" t="s">
        <v>440</v>
      </c>
      <c r="C19" s="138">
        <v>2407</v>
      </c>
      <c r="D19" s="96">
        <v>1.1033883011046093</v>
      </c>
      <c r="E19" s="39">
        <v>0.5</v>
      </c>
    </row>
  </sheetData>
  <sortState ref="A3:E19">
    <sortCondition ref="D3:D19"/>
  </sortState>
  <mergeCells count="5">
    <mergeCell ref="E1:E2"/>
    <mergeCell ref="A1:A2"/>
    <mergeCell ref="B1:B2"/>
    <mergeCell ref="C1:C2"/>
    <mergeCell ref="D1:D2"/>
  </mergeCells>
  <conditionalFormatting sqref="F3:F5">
    <cfRule type="cellIs" dxfId="1" priority="14" operator="equal">
      <formula>FALSE</formula>
    </cfRule>
  </conditionalFormatting>
  <conditionalFormatting sqref="F3:F5">
    <cfRule type="cellIs" dxfId="0" priority="13" operator="equal">
      <formula>FALSE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Header>&amp;LWojewództwo śląskie - powiaty, poziomy dofinansowania</oddHeader>
    <oddFooter>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0"/>
  <sheetViews>
    <sheetView showGridLines="0" view="pageBreakPreview" zoomScale="130" zoomScaleNormal="78" zoomScaleSheetLayoutView="130" workbookViewId="0">
      <selection activeCell="C131" sqref="C131"/>
    </sheetView>
  </sheetViews>
  <sheetFormatPr defaultColWidth="9.140625" defaultRowHeight="15"/>
  <cols>
    <col min="1" max="1" width="5.42578125" style="11" customWidth="1"/>
    <col min="2" max="2" width="28.5703125" style="11" customWidth="1"/>
    <col min="3" max="3" width="15.7109375" style="11" customWidth="1"/>
    <col min="4" max="4" width="23.140625" style="11" customWidth="1"/>
    <col min="5" max="5" width="22.140625" style="11" customWidth="1"/>
    <col min="6" max="6" width="15.7109375" style="1" customWidth="1"/>
    <col min="7" max="16384" width="9.140625" style="11"/>
  </cols>
  <sheetData>
    <row r="1" spans="1:8" ht="20.100000000000001" customHeight="1">
      <c r="A1" s="626" t="s">
        <v>4</v>
      </c>
      <c r="B1" s="627" t="s">
        <v>6</v>
      </c>
      <c r="C1" s="627" t="s">
        <v>30</v>
      </c>
      <c r="D1" s="627" t="s">
        <v>15</v>
      </c>
      <c r="E1" s="629" t="s">
        <v>43</v>
      </c>
      <c r="F1" s="626" t="s">
        <v>11</v>
      </c>
    </row>
    <row r="2" spans="1:8" ht="40.5" customHeight="1">
      <c r="A2" s="626"/>
      <c r="B2" s="628"/>
      <c r="C2" s="628"/>
      <c r="D2" s="628"/>
      <c r="E2" s="630"/>
      <c r="F2" s="626"/>
    </row>
    <row r="3" spans="1:8" ht="15.75" customHeight="1">
      <c r="A3" s="40">
        <v>1</v>
      </c>
      <c r="B3" s="137" t="s">
        <v>681</v>
      </c>
      <c r="C3" s="139" t="s">
        <v>534</v>
      </c>
      <c r="D3" s="137" t="s">
        <v>294</v>
      </c>
      <c r="E3" s="96">
        <v>0.71891745994265788</v>
      </c>
      <c r="F3" s="39">
        <v>0.7</v>
      </c>
      <c r="H3" s="140"/>
    </row>
    <row r="4" spans="1:8" ht="13.5" customHeight="1">
      <c r="A4" s="40">
        <v>2</v>
      </c>
      <c r="B4" s="137" t="s">
        <v>684</v>
      </c>
      <c r="C4" s="139" t="s">
        <v>537</v>
      </c>
      <c r="D4" s="137" t="s">
        <v>294</v>
      </c>
      <c r="E4" s="96">
        <v>0.74665525609142414</v>
      </c>
      <c r="F4" s="39">
        <v>0.7</v>
      </c>
      <c r="H4" s="140"/>
    </row>
    <row r="5" spans="1:8" ht="15" customHeight="1">
      <c r="A5" s="40">
        <v>3</v>
      </c>
      <c r="B5" s="137" t="s">
        <v>767</v>
      </c>
      <c r="C5" s="139" t="s">
        <v>621</v>
      </c>
      <c r="D5" s="137" t="s">
        <v>404</v>
      </c>
      <c r="E5" s="96">
        <v>0.76055290903076489</v>
      </c>
      <c r="F5" s="39">
        <v>0.65</v>
      </c>
    </row>
    <row r="6" spans="1:8">
      <c r="A6" s="40">
        <v>4</v>
      </c>
      <c r="B6" s="137" t="s">
        <v>717</v>
      </c>
      <c r="C6" s="139" t="s">
        <v>571</v>
      </c>
      <c r="D6" s="137" t="s">
        <v>310</v>
      </c>
      <c r="E6" s="96">
        <v>0.76252984729821705</v>
      </c>
      <c r="F6" s="39">
        <v>0.65</v>
      </c>
    </row>
    <row r="7" spans="1:8">
      <c r="A7" s="40">
        <v>5</v>
      </c>
      <c r="B7" s="137" t="s">
        <v>662</v>
      </c>
      <c r="C7" s="139" t="s">
        <v>515</v>
      </c>
      <c r="D7" s="137" t="s">
        <v>409</v>
      </c>
      <c r="E7" s="96">
        <v>0.76803832698560037</v>
      </c>
      <c r="F7" s="39">
        <v>0.65</v>
      </c>
    </row>
    <row r="8" spans="1:8">
      <c r="A8" s="40">
        <v>6</v>
      </c>
      <c r="B8" s="137" t="s">
        <v>659</v>
      </c>
      <c r="C8" s="139" t="s">
        <v>512</v>
      </c>
      <c r="D8" s="137" t="s">
        <v>409</v>
      </c>
      <c r="E8" s="96">
        <v>0.77456089639445724</v>
      </c>
      <c r="F8" s="39">
        <v>0.65</v>
      </c>
    </row>
    <row r="9" spans="1:8">
      <c r="A9" s="40">
        <v>7</v>
      </c>
      <c r="B9" s="137" t="s">
        <v>739</v>
      </c>
      <c r="C9" s="139" t="s">
        <v>593</v>
      </c>
      <c r="D9" s="137" t="s">
        <v>298</v>
      </c>
      <c r="E9" s="96">
        <v>0.7807424106782771</v>
      </c>
      <c r="F9" s="39">
        <v>0.65</v>
      </c>
    </row>
    <row r="10" spans="1:8">
      <c r="A10" s="40">
        <v>8</v>
      </c>
      <c r="B10" s="137" t="s">
        <v>757</v>
      </c>
      <c r="C10" s="139" t="s">
        <v>611</v>
      </c>
      <c r="D10" s="137" t="s">
        <v>308</v>
      </c>
      <c r="E10" s="96">
        <v>0.78644985101840681</v>
      </c>
      <c r="F10" s="39">
        <v>0.65</v>
      </c>
    </row>
    <row r="11" spans="1:8">
      <c r="A11" s="40">
        <v>9</v>
      </c>
      <c r="B11" s="137" t="s">
        <v>743</v>
      </c>
      <c r="C11" s="139" t="s">
        <v>597</v>
      </c>
      <c r="D11" s="137" t="s">
        <v>298</v>
      </c>
      <c r="E11" s="96">
        <v>0.78675169286099456</v>
      </c>
      <c r="F11" s="39">
        <v>0.65</v>
      </c>
    </row>
    <row r="12" spans="1:8">
      <c r="A12" s="40">
        <v>10</v>
      </c>
      <c r="B12" s="137" t="s">
        <v>694</v>
      </c>
      <c r="C12" s="139" t="s">
        <v>547</v>
      </c>
      <c r="D12" s="137" t="s">
        <v>407</v>
      </c>
      <c r="E12" s="96">
        <v>0.79261982689006383</v>
      </c>
      <c r="F12" s="39">
        <v>0.65</v>
      </c>
    </row>
    <row r="13" spans="1:8">
      <c r="A13" s="40">
        <v>11</v>
      </c>
      <c r="B13" s="137" t="s">
        <v>772</v>
      </c>
      <c r="C13" s="139" t="s">
        <v>626</v>
      </c>
      <c r="D13" s="137" t="s">
        <v>404</v>
      </c>
      <c r="E13" s="96">
        <v>0.80305452427833046</v>
      </c>
      <c r="F13" s="39">
        <v>0.6</v>
      </c>
    </row>
    <row r="14" spans="1:8">
      <c r="A14" s="40">
        <v>12</v>
      </c>
      <c r="B14" s="137" t="s">
        <v>762</v>
      </c>
      <c r="C14" s="139" t="s">
        <v>616</v>
      </c>
      <c r="D14" s="137" t="s">
        <v>404</v>
      </c>
      <c r="E14" s="96">
        <v>0.80551704945164937</v>
      </c>
      <c r="F14" s="39">
        <v>0.6</v>
      </c>
    </row>
    <row r="15" spans="1:8">
      <c r="A15" s="40">
        <v>13</v>
      </c>
      <c r="B15" s="137" t="s">
        <v>765</v>
      </c>
      <c r="C15" s="139" t="s">
        <v>619</v>
      </c>
      <c r="D15" s="137" t="s">
        <v>404</v>
      </c>
      <c r="E15" s="96">
        <v>0.80737812717695367</v>
      </c>
      <c r="F15" s="39">
        <v>0.6</v>
      </c>
    </row>
    <row r="16" spans="1:8">
      <c r="A16" s="40">
        <v>14</v>
      </c>
      <c r="B16" s="137" t="s">
        <v>648</v>
      </c>
      <c r="C16" s="139" t="s">
        <v>501</v>
      </c>
      <c r="D16" s="137" t="s">
        <v>405</v>
      </c>
      <c r="E16" s="96">
        <v>0.80745735706932398</v>
      </c>
      <c r="F16" s="39">
        <v>0.6</v>
      </c>
    </row>
    <row r="17" spans="1:6">
      <c r="A17" s="40">
        <v>15</v>
      </c>
      <c r="B17" s="137" t="s">
        <v>666</v>
      </c>
      <c r="C17" s="139" t="s">
        <v>519</v>
      </c>
      <c r="D17" s="137" t="s">
        <v>409</v>
      </c>
      <c r="E17" s="96">
        <v>0.80829440417735343</v>
      </c>
      <c r="F17" s="39">
        <v>0.6</v>
      </c>
    </row>
    <row r="18" spans="1:6">
      <c r="A18" s="40">
        <v>16</v>
      </c>
      <c r="B18" s="137" t="s">
        <v>695</v>
      </c>
      <c r="C18" s="139" t="s">
        <v>548</v>
      </c>
      <c r="D18" s="137" t="s">
        <v>407</v>
      </c>
      <c r="E18" s="96">
        <v>0.8127917756422367</v>
      </c>
      <c r="F18" s="39">
        <v>0.6</v>
      </c>
    </row>
    <row r="19" spans="1:6">
      <c r="A19" s="40">
        <v>17</v>
      </c>
      <c r="B19" s="137" t="s">
        <v>655</v>
      </c>
      <c r="C19" s="139" t="s">
        <v>508</v>
      </c>
      <c r="D19" s="137" t="s">
        <v>405</v>
      </c>
      <c r="E19" s="96">
        <v>0.81412816583884773</v>
      </c>
      <c r="F19" s="39">
        <v>0.6</v>
      </c>
    </row>
    <row r="20" spans="1:6">
      <c r="A20" s="40">
        <v>18</v>
      </c>
      <c r="B20" s="137" t="s">
        <v>711</v>
      </c>
      <c r="C20" s="139" t="s">
        <v>565</v>
      </c>
      <c r="D20" s="137" t="s">
        <v>412</v>
      </c>
      <c r="E20" s="96">
        <v>0.81686229738329108</v>
      </c>
      <c r="F20" s="39">
        <v>0.6</v>
      </c>
    </row>
    <row r="21" spans="1:6">
      <c r="A21" s="40">
        <v>19</v>
      </c>
      <c r="B21" s="137" t="s">
        <v>719</v>
      </c>
      <c r="C21" s="139" t="s">
        <v>573</v>
      </c>
      <c r="D21" s="137" t="s">
        <v>310</v>
      </c>
      <c r="E21" s="96">
        <v>0.81760538879232469</v>
      </c>
      <c r="F21" s="39">
        <v>0.6</v>
      </c>
    </row>
    <row r="22" spans="1:6">
      <c r="A22" s="40">
        <v>20</v>
      </c>
      <c r="B22" s="137" t="s">
        <v>701</v>
      </c>
      <c r="C22" s="139" t="s">
        <v>555</v>
      </c>
      <c r="D22" s="137" t="s">
        <v>319</v>
      </c>
      <c r="E22" s="96">
        <v>0.82143525487312774</v>
      </c>
      <c r="F22" s="39">
        <v>0.6</v>
      </c>
    </row>
    <row r="23" spans="1:6">
      <c r="A23" s="40">
        <v>21</v>
      </c>
      <c r="B23" s="137" t="s">
        <v>693</v>
      </c>
      <c r="C23" s="139" t="s">
        <v>546</v>
      </c>
      <c r="D23" s="137" t="s">
        <v>407</v>
      </c>
      <c r="E23" s="96">
        <v>0.82360616928331198</v>
      </c>
      <c r="F23" s="39">
        <v>0.6</v>
      </c>
    </row>
    <row r="24" spans="1:6">
      <c r="A24" s="40">
        <v>22</v>
      </c>
      <c r="B24" s="137" t="s">
        <v>656</v>
      </c>
      <c r="C24" s="139" t="s">
        <v>509</v>
      </c>
      <c r="D24" s="137" t="s">
        <v>409</v>
      </c>
      <c r="E24" s="96">
        <v>0.8260100255197258</v>
      </c>
      <c r="F24" s="39">
        <v>0.6</v>
      </c>
    </row>
    <row r="25" spans="1:6">
      <c r="A25" s="40">
        <v>23</v>
      </c>
      <c r="B25" s="137" t="s">
        <v>751</v>
      </c>
      <c r="C25" s="139" t="s">
        <v>605</v>
      </c>
      <c r="D25" s="137" t="s">
        <v>308</v>
      </c>
      <c r="E25" s="96">
        <v>0.82661892612045373</v>
      </c>
      <c r="F25" s="39">
        <v>0.6</v>
      </c>
    </row>
    <row r="26" spans="1:6">
      <c r="A26" s="40">
        <v>24</v>
      </c>
      <c r="B26" s="137" t="s">
        <v>658</v>
      </c>
      <c r="C26" s="139" t="s">
        <v>511</v>
      </c>
      <c r="D26" s="137" t="s">
        <v>409</v>
      </c>
      <c r="E26" s="96">
        <v>0.82831693376088034</v>
      </c>
      <c r="F26" s="39">
        <v>0.6</v>
      </c>
    </row>
    <row r="27" spans="1:6">
      <c r="A27" s="40">
        <v>25</v>
      </c>
      <c r="B27" s="137" t="s">
        <v>750</v>
      </c>
      <c r="C27" s="139" t="s">
        <v>604</v>
      </c>
      <c r="D27" s="137" t="s">
        <v>308</v>
      </c>
      <c r="E27" s="96">
        <v>0.82886236600057495</v>
      </c>
      <c r="F27" s="39">
        <v>0.6</v>
      </c>
    </row>
    <row r="28" spans="1:6">
      <c r="A28" s="40">
        <v>26</v>
      </c>
      <c r="B28" s="137" t="s">
        <v>660</v>
      </c>
      <c r="C28" s="139" t="s">
        <v>513</v>
      </c>
      <c r="D28" s="137" t="s">
        <v>409</v>
      </c>
      <c r="E28" s="96">
        <v>0.83143347738613216</v>
      </c>
      <c r="F28" s="39">
        <v>0.6</v>
      </c>
    </row>
    <row r="29" spans="1:6">
      <c r="A29" s="40">
        <v>27</v>
      </c>
      <c r="B29" s="137" t="s">
        <v>721</v>
      </c>
      <c r="C29" s="139" t="s">
        <v>575</v>
      </c>
      <c r="D29" s="137" t="s">
        <v>325</v>
      </c>
      <c r="E29" s="96">
        <v>0.8328423214076216</v>
      </c>
      <c r="F29" s="39">
        <v>0.6</v>
      </c>
    </row>
    <row r="30" spans="1:6">
      <c r="A30" s="40">
        <v>28</v>
      </c>
      <c r="B30" s="137" t="s">
        <v>696</v>
      </c>
      <c r="C30" s="139" t="s">
        <v>549</v>
      </c>
      <c r="D30" s="137" t="s">
        <v>407</v>
      </c>
      <c r="E30" s="96">
        <v>0.83320991710352743</v>
      </c>
      <c r="F30" s="39">
        <v>0.6</v>
      </c>
    </row>
    <row r="31" spans="1:6">
      <c r="A31" s="40">
        <v>29</v>
      </c>
      <c r="B31" s="137" t="s">
        <v>760</v>
      </c>
      <c r="C31" s="139" t="s">
        <v>614</v>
      </c>
      <c r="D31" s="137" t="s">
        <v>404</v>
      </c>
      <c r="E31" s="96">
        <v>0.83517956546705163</v>
      </c>
      <c r="F31" s="39">
        <v>0.6</v>
      </c>
    </row>
    <row r="32" spans="1:6">
      <c r="A32" s="40">
        <v>30</v>
      </c>
      <c r="B32" s="137" t="s">
        <v>652</v>
      </c>
      <c r="C32" s="139" t="s">
        <v>505</v>
      </c>
      <c r="D32" s="137" t="s">
        <v>405</v>
      </c>
      <c r="E32" s="96">
        <v>0.83679666015526377</v>
      </c>
      <c r="F32" s="39">
        <v>0.6</v>
      </c>
    </row>
    <row r="33" spans="1:6">
      <c r="A33" s="40">
        <v>31</v>
      </c>
      <c r="B33" s="137" t="s">
        <v>716</v>
      </c>
      <c r="C33" s="139" t="s">
        <v>570</v>
      </c>
      <c r="D33" s="137" t="s">
        <v>310</v>
      </c>
      <c r="E33" s="96">
        <v>0.84202495245272158</v>
      </c>
      <c r="F33" s="39">
        <v>0.6</v>
      </c>
    </row>
    <row r="34" spans="1:6">
      <c r="A34" s="40">
        <v>32</v>
      </c>
      <c r="B34" s="137" t="s">
        <v>708</v>
      </c>
      <c r="C34" s="139" t="s">
        <v>562</v>
      </c>
      <c r="D34" s="137" t="s">
        <v>412</v>
      </c>
      <c r="E34" s="96">
        <v>0.84350477603661034</v>
      </c>
      <c r="F34" s="39">
        <v>0.6</v>
      </c>
    </row>
    <row r="35" spans="1:6">
      <c r="A35" s="40">
        <v>33</v>
      </c>
      <c r="B35" s="137" t="s">
        <v>647</v>
      </c>
      <c r="C35" s="139" t="s">
        <v>500</v>
      </c>
      <c r="D35" s="137" t="s">
        <v>405</v>
      </c>
      <c r="E35" s="96">
        <v>0.84820765191065184</v>
      </c>
      <c r="F35" s="39">
        <v>0.6</v>
      </c>
    </row>
    <row r="36" spans="1:6">
      <c r="A36" s="40">
        <v>34</v>
      </c>
      <c r="B36" s="137" t="s">
        <v>714</v>
      </c>
      <c r="C36" s="139" t="s">
        <v>568</v>
      </c>
      <c r="D36" s="137" t="s">
        <v>310</v>
      </c>
      <c r="E36" s="96">
        <v>0.84824515393411437</v>
      </c>
      <c r="F36" s="39">
        <v>0.6</v>
      </c>
    </row>
    <row r="37" spans="1:6">
      <c r="A37" s="40">
        <v>35</v>
      </c>
      <c r="B37" s="137" t="s">
        <v>722</v>
      </c>
      <c r="C37" s="139" t="s">
        <v>576</v>
      </c>
      <c r="D37" s="137" t="s">
        <v>325</v>
      </c>
      <c r="E37" s="96">
        <v>0.84881643103228921</v>
      </c>
      <c r="F37" s="39">
        <v>0.6</v>
      </c>
    </row>
    <row r="38" spans="1:6">
      <c r="A38" s="40">
        <v>36</v>
      </c>
      <c r="B38" s="137" t="s">
        <v>642</v>
      </c>
      <c r="C38" s="139" t="s">
        <v>495</v>
      </c>
      <c r="D38" s="137" t="s">
        <v>305</v>
      </c>
      <c r="E38" s="96">
        <v>0.85629920494718414</v>
      </c>
      <c r="F38" s="39">
        <v>0.55000000000000004</v>
      </c>
    </row>
    <row r="39" spans="1:6">
      <c r="A39" s="40">
        <v>37</v>
      </c>
      <c r="B39" s="137" t="s">
        <v>654</v>
      </c>
      <c r="C39" s="139" t="s">
        <v>507</v>
      </c>
      <c r="D39" s="137" t="s">
        <v>405</v>
      </c>
      <c r="E39" s="96">
        <v>0.85665846875453233</v>
      </c>
      <c r="F39" s="39">
        <v>0.55000000000000004</v>
      </c>
    </row>
    <row r="40" spans="1:6">
      <c r="A40" s="40">
        <v>38</v>
      </c>
      <c r="B40" s="137" t="s">
        <v>763</v>
      </c>
      <c r="C40" s="139" t="s">
        <v>617</v>
      </c>
      <c r="D40" s="137" t="s">
        <v>404</v>
      </c>
      <c r="E40" s="96">
        <v>0.85883479533935614</v>
      </c>
      <c r="F40" s="39">
        <v>0.55000000000000004</v>
      </c>
    </row>
    <row r="41" spans="1:6">
      <c r="A41" s="40">
        <v>39</v>
      </c>
      <c r="B41" s="137" t="s">
        <v>770</v>
      </c>
      <c r="C41" s="139" t="s">
        <v>624</v>
      </c>
      <c r="D41" s="137" t="s">
        <v>404</v>
      </c>
      <c r="E41" s="96">
        <v>0.85917951651944846</v>
      </c>
      <c r="F41" s="39">
        <v>0.55000000000000004</v>
      </c>
    </row>
    <row r="42" spans="1:6">
      <c r="A42" s="40">
        <v>40</v>
      </c>
      <c r="B42" s="137" t="s">
        <v>761</v>
      </c>
      <c r="C42" s="139" t="s">
        <v>615</v>
      </c>
      <c r="D42" s="137" t="s">
        <v>404</v>
      </c>
      <c r="E42" s="96">
        <v>0.85973176251059524</v>
      </c>
      <c r="F42" s="39">
        <v>0.55000000000000004</v>
      </c>
    </row>
    <row r="43" spans="1:6">
      <c r="A43" s="40">
        <v>41</v>
      </c>
      <c r="B43" s="137" t="s">
        <v>713</v>
      </c>
      <c r="C43" s="139" t="s">
        <v>567</v>
      </c>
      <c r="D43" s="137" t="s">
        <v>310</v>
      </c>
      <c r="E43" s="96">
        <v>0.85975346498135119</v>
      </c>
      <c r="F43" s="39">
        <v>0.55000000000000004</v>
      </c>
    </row>
    <row r="44" spans="1:6">
      <c r="A44" s="40">
        <v>42</v>
      </c>
      <c r="B44" s="137" t="s">
        <v>702</v>
      </c>
      <c r="C44" s="139" t="s">
        <v>556</v>
      </c>
      <c r="D44" s="137" t="s">
        <v>319</v>
      </c>
      <c r="E44" s="96">
        <v>0.86440261554457742</v>
      </c>
      <c r="F44" s="39">
        <v>0.55000000000000004</v>
      </c>
    </row>
    <row r="45" spans="1:6">
      <c r="A45" s="40">
        <v>43</v>
      </c>
      <c r="B45" s="137" t="s">
        <v>671</v>
      </c>
      <c r="C45" s="139" t="s">
        <v>524</v>
      </c>
      <c r="D45" s="137" t="s">
        <v>409</v>
      </c>
      <c r="E45" s="96">
        <v>0.86485937437241112</v>
      </c>
      <c r="F45" s="39">
        <v>0.55000000000000004</v>
      </c>
    </row>
    <row r="46" spans="1:6">
      <c r="A46" s="40">
        <v>44</v>
      </c>
      <c r="B46" s="137" t="s">
        <v>744</v>
      </c>
      <c r="C46" s="139" t="s">
        <v>598</v>
      </c>
      <c r="D46" s="137" t="s">
        <v>298</v>
      </c>
      <c r="E46" s="96">
        <v>0.86797013829718928</v>
      </c>
      <c r="F46" s="39">
        <v>0.55000000000000004</v>
      </c>
    </row>
    <row r="47" spans="1:6">
      <c r="A47" s="40">
        <v>45</v>
      </c>
      <c r="B47" s="137" t="s">
        <v>755</v>
      </c>
      <c r="C47" s="139" t="s">
        <v>609</v>
      </c>
      <c r="D47" s="137" t="s">
        <v>308</v>
      </c>
      <c r="E47" s="96">
        <v>0.8679855687009288</v>
      </c>
      <c r="F47" s="39">
        <v>0.55000000000000004</v>
      </c>
    </row>
    <row r="48" spans="1:6">
      <c r="A48" s="40">
        <v>46</v>
      </c>
      <c r="B48" s="137" t="s">
        <v>748</v>
      </c>
      <c r="C48" s="139" t="s">
        <v>602</v>
      </c>
      <c r="D48" s="137" t="s">
        <v>308</v>
      </c>
      <c r="E48" s="96">
        <v>0.86987622602582504</v>
      </c>
      <c r="F48" s="39">
        <v>0.55000000000000004</v>
      </c>
    </row>
    <row r="49" spans="1:6">
      <c r="A49" s="40">
        <v>47</v>
      </c>
      <c r="B49" s="137" t="s">
        <v>723</v>
      </c>
      <c r="C49" s="139" t="s">
        <v>577</v>
      </c>
      <c r="D49" s="137" t="s">
        <v>325</v>
      </c>
      <c r="E49" s="96">
        <v>0.87205367140821466</v>
      </c>
      <c r="F49" s="39">
        <v>0.55000000000000004</v>
      </c>
    </row>
    <row r="50" spans="1:6">
      <c r="A50" s="40">
        <v>48</v>
      </c>
      <c r="B50" s="137" t="s">
        <v>741</v>
      </c>
      <c r="C50" s="139" t="s">
        <v>595</v>
      </c>
      <c r="D50" s="137" t="s">
        <v>298</v>
      </c>
      <c r="E50" s="96">
        <v>0.87295445902730695</v>
      </c>
      <c r="F50" s="39">
        <v>0.55000000000000004</v>
      </c>
    </row>
    <row r="51" spans="1:6">
      <c r="A51" s="40">
        <v>49</v>
      </c>
      <c r="B51" s="137" t="s">
        <v>637</v>
      </c>
      <c r="C51" s="139" t="s">
        <v>489</v>
      </c>
      <c r="D51" s="137" t="s">
        <v>305</v>
      </c>
      <c r="E51" s="96">
        <v>0.8769739613126849</v>
      </c>
      <c r="F51" s="39">
        <v>0.55000000000000004</v>
      </c>
    </row>
    <row r="52" spans="1:6">
      <c r="A52" s="40">
        <v>50</v>
      </c>
      <c r="B52" s="137" t="s">
        <v>766</v>
      </c>
      <c r="C52" s="139" t="s">
        <v>620</v>
      </c>
      <c r="D52" s="137" t="s">
        <v>404</v>
      </c>
      <c r="E52" s="96">
        <v>0.87776472166012076</v>
      </c>
      <c r="F52" s="39">
        <v>0.55000000000000004</v>
      </c>
    </row>
    <row r="53" spans="1:6">
      <c r="A53" s="40">
        <v>51</v>
      </c>
      <c r="B53" s="137" t="s">
        <v>665</v>
      </c>
      <c r="C53" s="139" t="s">
        <v>518</v>
      </c>
      <c r="D53" s="137" t="s">
        <v>409</v>
      </c>
      <c r="E53" s="96">
        <v>0.88252619046577718</v>
      </c>
      <c r="F53" s="39">
        <v>0.55000000000000004</v>
      </c>
    </row>
    <row r="54" spans="1:6">
      <c r="A54" s="40">
        <v>52</v>
      </c>
      <c r="B54" s="137" t="s">
        <v>703</v>
      </c>
      <c r="C54" s="139" t="s">
        <v>557</v>
      </c>
      <c r="D54" s="137" t="s">
        <v>319</v>
      </c>
      <c r="E54" s="96">
        <v>0.88440834720426453</v>
      </c>
      <c r="F54" s="39">
        <v>0.55000000000000004</v>
      </c>
    </row>
    <row r="55" spans="1:6">
      <c r="A55" s="40">
        <v>53</v>
      </c>
      <c r="B55" s="137" t="s">
        <v>641</v>
      </c>
      <c r="C55" s="139" t="s">
        <v>494</v>
      </c>
      <c r="D55" s="137" t="s">
        <v>305</v>
      </c>
      <c r="E55" s="96">
        <v>0.88717188101048983</v>
      </c>
      <c r="F55" s="39">
        <v>0.55000000000000004</v>
      </c>
    </row>
    <row r="56" spans="1:6">
      <c r="A56" s="40">
        <v>54</v>
      </c>
      <c r="B56" s="137" t="s">
        <v>683</v>
      </c>
      <c r="C56" s="139" t="s">
        <v>536</v>
      </c>
      <c r="D56" s="137" t="s">
        <v>294</v>
      </c>
      <c r="E56" s="96">
        <v>0.88727130022679757</v>
      </c>
      <c r="F56" s="39">
        <v>0.55000000000000004</v>
      </c>
    </row>
    <row r="57" spans="1:6">
      <c r="A57" s="40">
        <v>55</v>
      </c>
      <c r="B57" s="137" t="s">
        <v>651</v>
      </c>
      <c r="C57" s="139" t="s">
        <v>504</v>
      </c>
      <c r="D57" s="137" t="s">
        <v>405</v>
      </c>
      <c r="E57" s="96">
        <v>0.88781804093258376</v>
      </c>
      <c r="F57" s="39">
        <v>0.55000000000000004</v>
      </c>
    </row>
    <row r="58" spans="1:6">
      <c r="A58" s="40">
        <v>56</v>
      </c>
      <c r="B58" s="137" t="s">
        <v>678</v>
      </c>
      <c r="C58" s="139" t="s">
        <v>531</v>
      </c>
      <c r="D58" s="137" t="s">
        <v>410</v>
      </c>
      <c r="E58" s="96">
        <v>0.89404795775216772</v>
      </c>
      <c r="F58" s="39">
        <v>0.55000000000000004</v>
      </c>
    </row>
    <row r="59" spans="1:6">
      <c r="A59" s="40">
        <v>57</v>
      </c>
      <c r="B59" s="137" t="s">
        <v>670</v>
      </c>
      <c r="C59" s="139" t="s">
        <v>523</v>
      </c>
      <c r="D59" s="137" t="s">
        <v>409</v>
      </c>
      <c r="E59" s="96">
        <v>0.89659092269634089</v>
      </c>
      <c r="F59" s="39">
        <v>0.55000000000000004</v>
      </c>
    </row>
    <row r="60" spans="1:6">
      <c r="A60" s="40">
        <v>58</v>
      </c>
      <c r="B60" s="137" t="s">
        <v>686</v>
      </c>
      <c r="C60" s="139" t="s">
        <v>539</v>
      </c>
      <c r="D60" s="137" t="s">
        <v>294</v>
      </c>
      <c r="E60" s="96">
        <v>0.89687426739395948</v>
      </c>
      <c r="F60" s="39">
        <v>0.55000000000000004</v>
      </c>
    </row>
    <row r="61" spans="1:6">
      <c r="A61" s="40">
        <v>59</v>
      </c>
      <c r="B61" s="137" t="s">
        <v>664</v>
      </c>
      <c r="C61" s="139" t="s">
        <v>517</v>
      </c>
      <c r="D61" s="137" t="s">
        <v>409</v>
      </c>
      <c r="E61" s="96">
        <v>0.90085285685635164</v>
      </c>
      <c r="F61" s="39">
        <v>0.5</v>
      </c>
    </row>
    <row r="62" spans="1:6">
      <c r="A62" s="40">
        <v>60</v>
      </c>
      <c r="B62" s="137" t="s">
        <v>680</v>
      </c>
      <c r="C62" s="139" t="s">
        <v>533</v>
      </c>
      <c r="D62" s="137" t="s">
        <v>294</v>
      </c>
      <c r="E62" s="96">
        <v>0.90277810249520241</v>
      </c>
      <c r="F62" s="39">
        <v>0.5</v>
      </c>
    </row>
    <row r="63" spans="1:6">
      <c r="A63" s="40">
        <v>61</v>
      </c>
      <c r="B63" s="137" t="s">
        <v>688</v>
      </c>
      <c r="C63" s="139" t="s">
        <v>541</v>
      </c>
      <c r="D63" s="137" t="s">
        <v>294</v>
      </c>
      <c r="E63" s="96">
        <v>0.90475948732944145</v>
      </c>
      <c r="F63" s="39">
        <v>0.5</v>
      </c>
    </row>
    <row r="64" spans="1:6">
      <c r="A64" s="40">
        <v>62</v>
      </c>
      <c r="B64" s="137" t="s">
        <v>768</v>
      </c>
      <c r="C64" s="139" t="s">
        <v>622</v>
      </c>
      <c r="D64" s="137" t="s">
        <v>404</v>
      </c>
      <c r="E64" s="96">
        <v>0.90549222767441484</v>
      </c>
      <c r="F64" s="39">
        <v>0.5</v>
      </c>
    </row>
    <row r="65" spans="1:6">
      <c r="A65" s="40">
        <v>63</v>
      </c>
      <c r="B65" s="137" t="s">
        <v>650</v>
      </c>
      <c r="C65" s="139" t="s">
        <v>503</v>
      </c>
      <c r="D65" s="137" t="s">
        <v>405</v>
      </c>
      <c r="E65" s="96">
        <v>0.90552362944529141</v>
      </c>
      <c r="F65" s="39">
        <v>0.5</v>
      </c>
    </row>
    <row r="66" spans="1:6">
      <c r="A66" s="40">
        <v>64</v>
      </c>
      <c r="B66" s="137" t="s">
        <v>653</v>
      </c>
      <c r="C66" s="139" t="s">
        <v>506</v>
      </c>
      <c r="D66" s="137" t="s">
        <v>405</v>
      </c>
      <c r="E66" s="96">
        <v>0.91010892431464574</v>
      </c>
      <c r="F66" s="39">
        <v>0.5</v>
      </c>
    </row>
    <row r="67" spans="1:6">
      <c r="A67" s="40">
        <v>65</v>
      </c>
      <c r="B67" s="137" t="s">
        <v>679</v>
      </c>
      <c r="C67" s="139" t="s">
        <v>532</v>
      </c>
      <c r="D67" s="137" t="s">
        <v>410</v>
      </c>
      <c r="E67" s="96">
        <v>0.91294683949042554</v>
      </c>
      <c r="F67" s="39">
        <v>0.5</v>
      </c>
    </row>
    <row r="68" spans="1:6">
      <c r="A68" s="40">
        <v>66</v>
      </c>
      <c r="B68" s="137" t="s">
        <v>704</v>
      </c>
      <c r="C68" s="139" t="s">
        <v>558</v>
      </c>
      <c r="D68" s="137" t="s">
        <v>319</v>
      </c>
      <c r="E68" s="96">
        <v>0.9144042379918027</v>
      </c>
      <c r="F68" s="39">
        <v>0.5</v>
      </c>
    </row>
    <row r="69" spans="1:6">
      <c r="A69" s="40">
        <v>67</v>
      </c>
      <c r="B69" s="137" t="s">
        <v>732</v>
      </c>
      <c r="C69" s="139" t="s">
        <v>586</v>
      </c>
      <c r="D69" s="137" t="s">
        <v>329</v>
      </c>
      <c r="E69" s="96">
        <v>0.91569106592372651</v>
      </c>
      <c r="F69" s="39">
        <v>0.5</v>
      </c>
    </row>
    <row r="70" spans="1:6">
      <c r="A70" s="40">
        <v>68</v>
      </c>
      <c r="B70" s="137" t="s">
        <v>631</v>
      </c>
      <c r="C70" s="139" t="s">
        <v>483</v>
      </c>
      <c r="D70" s="37" t="s">
        <v>332</v>
      </c>
      <c r="E70" s="96">
        <v>0.92053395147273376</v>
      </c>
      <c r="F70" s="39">
        <v>0.5</v>
      </c>
    </row>
    <row r="71" spans="1:6">
      <c r="A71" s="40">
        <v>69</v>
      </c>
      <c r="B71" s="137" t="s">
        <v>675</v>
      </c>
      <c r="C71" s="139" t="s">
        <v>528</v>
      </c>
      <c r="D71" s="137" t="s">
        <v>410</v>
      </c>
      <c r="E71" s="96">
        <v>0.92158099723490927</v>
      </c>
      <c r="F71" s="39">
        <v>0.5</v>
      </c>
    </row>
    <row r="72" spans="1:6">
      <c r="A72" s="40">
        <v>70</v>
      </c>
      <c r="B72" s="137" t="s">
        <v>720</v>
      </c>
      <c r="C72" s="139" t="s">
        <v>574</v>
      </c>
      <c r="D72" s="137" t="s">
        <v>325</v>
      </c>
      <c r="E72" s="96">
        <v>0.92344764581918759</v>
      </c>
      <c r="F72" s="39">
        <v>0.5</v>
      </c>
    </row>
    <row r="73" spans="1:6">
      <c r="A73" s="40">
        <v>71</v>
      </c>
      <c r="B73" s="137" t="s">
        <v>687</v>
      </c>
      <c r="C73" s="139" t="s">
        <v>540</v>
      </c>
      <c r="D73" s="137" t="s">
        <v>294</v>
      </c>
      <c r="E73" s="96">
        <v>0.92455086783309404</v>
      </c>
      <c r="F73" s="39">
        <v>0.5</v>
      </c>
    </row>
    <row r="74" spans="1:6">
      <c r="A74" s="40">
        <v>72</v>
      </c>
      <c r="B74" s="137" t="s">
        <v>769</v>
      </c>
      <c r="C74" s="139" t="s">
        <v>623</v>
      </c>
      <c r="D74" s="137" t="s">
        <v>404</v>
      </c>
      <c r="E74" s="96">
        <v>0.92506754316465689</v>
      </c>
      <c r="F74" s="39">
        <v>0.5</v>
      </c>
    </row>
    <row r="75" spans="1:6">
      <c r="A75" s="40">
        <v>73</v>
      </c>
      <c r="B75" s="137" t="s">
        <v>661</v>
      </c>
      <c r="C75" s="139" t="s">
        <v>514</v>
      </c>
      <c r="D75" s="137" t="s">
        <v>409</v>
      </c>
      <c r="E75" s="96">
        <v>0.92625256761730979</v>
      </c>
      <c r="F75" s="39">
        <v>0.5</v>
      </c>
    </row>
    <row r="76" spans="1:6">
      <c r="A76" s="40">
        <v>74</v>
      </c>
      <c r="B76" s="137" t="s">
        <v>698</v>
      </c>
      <c r="C76" s="139" t="s">
        <v>552</v>
      </c>
      <c r="D76" s="137" t="s">
        <v>291</v>
      </c>
      <c r="E76" s="96">
        <v>0.93028126556099511</v>
      </c>
      <c r="F76" s="39">
        <v>0.5</v>
      </c>
    </row>
    <row r="77" spans="1:6">
      <c r="A77" s="40">
        <v>75</v>
      </c>
      <c r="B77" s="137" t="s">
        <v>636</v>
      </c>
      <c r="C77" s="139" t="s">
        <v>488</v>
      </c>
      <c r="D77" s="137" t="s">
        <v>305</v>
      </c>
      <c r="E77" s="96">
        <v>0.93257493894741117</v>
      </c>
      <c r="F77" s="39">
        <v>0.5</v>
      </c>
    </row>
    <row r="78" spans="1:6">
      <c r="A78" s="40">
        <v>76</v>
      </c>
      <c r="B78" s="137" t="s">
        <v>705</v>
      </c>
      <c r="C78" s="139" t="s">
        <v>559</v>
      </c>
      <c r="D78" s="137" t="s">
        <v>319</v>
      </c>
      <c r="E78" s="96">
        <v>0.93435906476037422</v>
      </c>
      <c r="F78" s="39">
        <v>0.5</v>
      </c>
    </row>
    <row r="79" spans="1:6">
      <c r="A79" s="40">
        <v>77</v>
      </c>
      <c r="B79" s="137" t="s">
        <v>715</v>
      </c>
      <c r="C79" s="139" t="s">
        <v>569</v>
      </c>
      <c r="D79" s="137" t="s">
        <v>310</v>
      </c>
      <c r="E79" s="96">
        <v>0.93626351438319433</v>
      </c>
      <c r="F79" s="39">
        <v>0.5</v>
      </c>
    </row>
    <row r="80" spans="1:6">
      <c r="A80" s="40">
        <v>78</v>
      </c>
      <c r="B80" s="137" t="s">
        <v>771</v>
      </c>
      <c r="C80" s="139" t="s">
        <v>625</v>
      </c>
      <c r="D80" s="137" t="s">
        <v>404</v>
      </c>
      <c r="E80" s="96">
        <v>0.93675744222540158</v>
      </c>
      <c r="F80" s="39">
        <v>0.5</v>
      </c>
    </row>
    <row r="81" spans="1:6">
      <c r="A81" s="40">
        <v>79</v>
      </c>
      <c r="B81" s="38" t="s">
        <v>629</v>
      </c>
      <c r="C81" s="139" t="s">
        <v>481</v>
      </c>
      <c r="D81" s="37" t="s">
        <v>332</v>
      </c>
      <c r="E81" s="96">
        <v>0.94820394180133649</v>
      </c>
      <c r="F81" s="39">
        <v>0.5</v>
      </c>
    </row>
    <row r="82" spans="1:6">
      <c r="A82" s="40">
        <v>80</v>
      </c>
      <c r="B82" s="137" t="s">
        <v>747</v>
      </c>
      <c r="C82" s="139" t="s">
        <v>601</v>
      </c>
      <c r="D82" s="137" t="s">
        <v>298</v>
      </c>
      <c r="E82" s="96">
        <v>0.96987354087969246</v>
      </c>
      <c r="F82" s="39">
        <v>0.5</v>
      </c>
    </row>
    <row r="83" spans="1:6">
      <c r="A83" s="40">
        <v>81</v>
      </c>
      <c r="B83" s="137" t="s">
        <v>753</v>
      </c>
      <c r="C83" s="139" t="s">
        <v>607</v>
      </c>
      <c r="D83" s="137" t="s">
        <v>308</v>
      </c>
      <c r="E83" s="96">
        <v>0.97217173313605576</v>
      </c>
      <c r="F83" s="39">
        <v>0.5</v>
      </c>
    </row>
    <row r="84" spans="1:6">
      <c r="A84" s="40">
        <v>82</v>
      </c>
      <c r="B84" s="137" t="s">
        <v>649</v>
      </c>
      <c r="C84" s="139" t="s">
        <v>502</v>
      </c>
      <c r="D84" s="137" t="s">
        <v>405</v>
      </c>
      <c r="E84" s="96">
        <v>0.97271546760234395</v>
      </c>
      <c r="F84" s="39">
        <v>0.5</v>
      </c>
    </row>
    <row r="85" spans="1:6">
      <c r="A85" s="40">
        <v>83</v>
      </c>
      <c r="B85" s="137" t="s">
        <v>718</v>
      </c>
      <c r="C85" s="139" t="s">
        <v>572</v>
      </c>
      <c r="D85" s="137" t="s">
        <v>310</v>
      </c>
      <c r="E85" s="96">
        <v>0.97658532177737456</v>
      </c>
      <c r="F85" s="39">
        <v>0.5</v>
      </c>
    </row>
    <row r="86" spans="1:6">
      <c r="A86" s="40">
        <v>84</v>
      </c>
      <c r="B86" s="137" t="s">
        <v>668</v>
      </c>
      <c r="C86" s="139" t="s">
        <v>521</v>
      </c>
      <c r="D86" s="137" t="s">
        <v>409</v>
      </c>
      <c r="E86" s="96">
        <v>0.97753149937251727</v>
      </c>
      <c r="F86" s="39">
        <v>0.5</v>
      </c>
    </row>
    <row r="87" spans="1:6">
      <c r="A87" s="40">
        <v>85</v>
      </c>
      <c r="B87" s="137" t="s">
        <v>682</v>
      </c>
      <c r="C87" s="139" t="s">
        <v>535</v>
      </c>
      <c r="D87" s="137" t="s">
        <v>294</v>
      </c>
      <c r="E87" s="96">
        <v>0.97885202063845012</v>
      </c>
      <c r="F87" s="39">
        <v>0.5</v>
      </c>
    </row>
    <row r="88" spans="1:6">
      <c r="A88" s="40">
        <v>86</v>
      </c>
      <c r="B88" s="137" t="s">
        <v>737</v>
      </c>
      <c r="C88" s="139" t="s">
        <v>591</v>
      </c>
      <c r="D88" s="137" t="s">
        <v>408</v>
      </c>
      <c r="E88" s="96">
        <v>0.98220658507899405</v>
      </c>
      <c r="F88" s="39">
        <v>0.5</v>
      </c>
    </row>
    <row r="89" spans="1:6">
      <c r="A89" s="40">
        <v>87</v>
      </c>
      <c r="B89" s="137" t="s">
        <v>657</v>
      </c>
      <c r="C89" s="139" t="s">
        <v>510</v>
      </c>
      <c r="D89" s="137" t="s">
        <v>409</v>
      </c>
      <c r="E89" s="96">
        <v>0.98432719889990639</v>
      </c>
      <c r="F89" s="39">
        <v>0.5</v>
      </c>
    </row>
    <row r="90" spans="1:6">
      <c r="A90" s="40">
        <v>88</v>
      </c>
      <c r="B90" s="137" t="s">
        <v>756</v>
      </c>
      <c r="C90" s="139" t="s">
        <v>610</v>
      </c>
      <c r="D90" s="137" t="s">
        <v>308</v>
      </c>
      <c r="E90" s="96">
        <v>0.98531634999301421</v>
      </c>
      <c r="F90" s="39">
        <v>0.5</v>
      </c>
    </row>
    <row r="91" spans="1:6">
      <c r="A91" s="40">
        <v>89</v>
      </c>
      <c r="B91" s="137" t="s">
        <v>710</v>
      </c>
      <c r="C91" s="139" t="s">
        <v>564</v>
      </c>
      <c r="D91" s="137" t="s">
        <v>412</v>
      </c>
      <c r="E91" s="96">
        <v>0.9906479317239929</v>
      </c>
      <c r="F91" s="39">
        <v>0.5</v>
      </c>
    </row>
    <row r="92" spans="1:6">
      <c r="A92" s="40">
        <v>90</v>
      </c>
      <c r="B92" s="137" t="s">
        <v>640</v>
      </c>
      <c r="C92" s="139" t="s">
        <v>493</v>
      </c>
      <c r="D92" s="137" t="s">
        <v>305</v>
      </c>
      <c r="E92" s="96">
        <v>0.99374302836488304</v>
      </c>
      <c r="F92" s="39">
        <v>0.5</v>
      </c>
    </row>
    <row r="93" spans="1:6">
      <c r="A93" s="40">
        <v>91</v>
      </c>
      <c r="B93" s="137" t="s">
        <v>749</v>
      </c>
      <c r="C93" s="139" t="s">
        <v>603</v>
      </c>
      <c r="D93" s="137" t="s">
        <v>308</v>
      </c>
      <c r="E93" s="96">
        <v>0.9986903044558475</v>
      </c>
      <c r="F93" s="39">
        <v>0.5</v>
      </c>
    </row>
    <row r="94" spans="1:6">
      <c r="A94" s="40">
        <v>92</v>
      </c>
      <c r="B94" s="137" t="s">
        <v>712</v>
      </c>
      <c r="C94" s="139" t="s">
        <v>566</v>
      </c>
      <c r="D94" s="137" t="s">
        <v>310</v>
      </c>
      <c r="E94" s="96">
        <v>1.0026909804529642</v>
      </c>
      <c r="F94" s="39">
        <v>0.5</v>
      </c>
    </row>
    <row r="95" spans="1:6">
      <c r="A95" s="40">
        <v>93</v>
      </c>
      <c r="B95" s="137" t="s">
        <v>667</v>
      </c>
      <c r="C95" s="139" t="s">
        <v>520</v>
      </c>
      <c r="D95" s="137" t="s">
        <v>409</v>
      </c>
      <c r="E95" s="96">
        <v>1.0032666789381626</v>
      </c>
      <c r="F95" s="39">
        <v>0.5</v>
      </c>
    </row>
    <row r="96" spans="1:6">
      <c r="A96" s="40">
        <v>94</v>
      </c>
      <c r="B96" s="137" t="s">
        <v>752</v>
      </c>
      <c r="C96" s="139" t="s">
        <v>606</v>
      </c>
      <c r="D96" s="137" t="s">
        <v>308</v>
      </c>
      <c r="E96" s="96">
        <v>1.0076562049363063</v>
      </c>
      <c r="F96" s="39">
        <v>0.5</v>
      </c>
    </row>
    <row r="97" spans="1:6">
      <c r="A97" s="40">
        <v>95</v>
      </c>
      <c r="B97" s="137" t="s">
        <v>630</v>
      </c>
      <c r="C97" s="139" t="s">
        <v>482</v>
      </c>
      <c r="D97" s="37" t="s">
        <v>332</v>
      </c>
      <c r="E97" s="96">
        <v>1.011888445451651</v>
      </c>
      <c r="F97" s="39">
        <v>0.5</v>
      </c>
    </row>
    <row r="98" spans="1:6">
      <c r="A98" s="40">
        <v>96</v>
      </c>
      <c r="B98" s="137" t="s">
        <v>663</v>
      </c>
      <c r="C98" s="139" t="s">
        <v>516</v>
      </c>
      <c r="D98" s="137" t="s">
        <v>409</v>
      </c>
      <c r="E98" s="96">
        <v>1.013202186018753</v>
      </c>
      <c r="F98" s="39">
        <v>0.5</v>
      </c>
    </row>
    <row r="99" spans="1:6">
      <c r="A99" s="40">
        <v>97</v>
      </c>
      <c r="B99" s="137" t="s">
        <v>643</v>
      </c>
      <c r="C99" s="139" t="s">
        <v>496</v>
      </c>
      <c r="D99" s="137" t="s">
        <v>305</v>
      </c>
      <c r="E99" s="96">
        <v>1.0238118082192222</v>
      </c>
      <c r="F99" s="39">
        <v>0.5</v>
      </c>
    </row>
    <row r="100" spans="1:6">
      <c r="A100" s="40">
        <v>98</v>
      </c>
      <c r="B100" s="137" t="s">
        <v>742</v>
      </c>
      <c r="C100" s="139" t="s">
        <v>596</v>
      </c>
      <c r="D100" s="137" t="s">
        <v>298</v>
      </c>
      <c r="E100" s="96">
        <v>1.033353749531368</v>
      </c>
      <c r="F100" s="39">
        <v>0.5</v>
      </c>
    </row>
    <row r="101" spans="1:6">
      <c r="A101" s="40">
        <v>99</v>
      </c>
      <c r="B101" s="137" t="s">
        <v>692</v>
      </c>
      <c r="C101" s="139" t="s">
        <v>545</v>
      </c>
      <c r="D101" s="137" t="s">
        <v>407</v>
      </c>
      <c r="E101" s="96">
        <v>1.0335949598740861</v>
      </c>
      <c r="F101" s="39">
        <v>0.5</v>
      </c>
    </row>
    <row r="102" spans="1:6">
      <c r="A102" s="40">
        <v>100</v>
      </c>
      <c r="B102" s="137" t="s">
        <v>727</v>
      </c>
      <c r="C102" s="139" t="s">
        <v>581</v>
      </c>
      <c r="D102" s="137" t="s">
        <v>329</v>
      </c>
      <c r="E102" s="96">
        <v>1.0337262083899172</v>
      </c>
      <c r="F102" s="39">
        <v>0.5</v>
      </c>
    </row>
    <row r="103" spans="1:6">
      <c r="A103" s="40">
        <v>101</v>
      </c>
      <c r="B103" s="137" t="s">
        <v>724</v>
      </c>
      <c r="C103" s="139" t="s">
        <v>578</v>
      </c>
      <c r="D103" s="137" t="s">
        <v>325</v>
      </c>
      <c r="E103" s="96">
        <v>1.0407346782716436</v>
      </c>
      <c r="F103" s="39">
        <v>0.5</v>
      </c>
    </row>
    <row r="104" spans="1:6">
      <c r="A104" s="40">
        <v>102</v>
      </c>
      <c r="B104" s="137" t="s">
        <v>676</v>
      </c>
      <c r="C104" s="139" t="s">
        <v>529</v>
      </c>
      <c r="D104" s="137" t="s">
        <v>410</v>
      </c>
      <c r="E104" s="96">
        <v>1.0452111269177111</v>
      </c>
      <c r="F104" s="39">
        <v>0.5</v>
      </c>
    </row>
    <row r="105" spans="1:6">
      <c r="A105" s="40">
        <v>103</v>
      </c>
      <c r="B105" s="137" t="s">
        <v>759</v>
      </c>
      <c r="C105" s="139" t="s">
        <v>613</v>
      </c>
      <c r="D105" s="137" t="s">
        <v>404</v>
      </c>
      <c r="E105" s="96">
        <v>1.0498616409669055</v>
      </c>
      <c r="F105" s="39">
        <v>0.5</v>
      </c>
    </row>
    <row r="106" spans="1:6">
      <c r="A106" s="40">
        <v>104</v>
      </c>
      <c r="B106" s="137" t="s">
        <v>689</v>
      </c>
      <c r="C106" s="139" t="s">
        <v>542</v>
      </c>
      <c r="D106" s="137" t="s">
        <v>407</v>
      </c>
      <c r="E106" s="96">
        <v>1.0551108240352567</v>
      </c>
      <c r="F106" s="39">
        <v>0.5</v>
      </c>
    </row>
    <row r="107" spans="1:6">
      <c r="A107" s="40">
        <v>105</v>
      </c>
      <c r="B107" s="137" t="s">
        <v>731</v>
      </c>
      <c r="C107" s="139" t="s">
        <v>585</v>
      </c>
      <c r="D107" s="137" t="s">
        <v>329</v>
      </c>
      <c r="E107" s="96">
        <v>1.0745675869510365</v>
      </c>
      <c r="F107" s="39">
        <v>0.5</v>
      </c>
    </row>
    <row r="108" spans="1:6">
      <c r="A108" s="40">
        <v>106</v>
      </c>
      <c r="B108" s="137" t="s">
        <v>725</v>
      </c>
      <c r="C108" s="139" t="s">
        <v>579</v>
      </c>
      <c r="D108" s="137" t="s">
        <v>329</v>
      </c>
      <c r="E108" s="96">
        <v>1.0813168901697481</v>
      </c>
      <c r="F108" s="39">
        <v>0.5</v>
      </c>
    </row>
    <row r="109" spans="1:6">
      <c r="A109" s="40">
        <v>107</v>
      </c>
      <c r="B109" s="137" t="s">
        <v>764</v>
      </c>
      <c r="C109" s="139" t="s">
        <v>618</v>
      </c>
      <c r="D109" s="137" t="s">
        <v>404</v>
      </c>
      <c r="E109" s="96">
        <v>1.0818052142870196</v>
      </c>
      <c r="F109" s="39">
        <v>0.5</v>
      </c>
    </row>
    <row r="110" spans="1:6">
      <c r="A110" s="40">
        <v>108</v>
      </c>
      <c r="B110" s="137" t="s">
        <v>754</v>
      </c>
      <c r="C110" s="139" t="s">
        <v>608</v>
      </c>
      <c r="D110" s="137" t="s">
        <v>308</v>
      </c>
      <c r="E110" s="96">
        <v>1.0820134781801656</v>
      </c>
      <c r="F110" s="39">
        <v>0.5</v>
      </c>
    </row>
    <row r="111" spans="1:6">
      <c r="A111" s="40">
        <v>109</v>
      </c>
      <c r="B111" s="137" t="s">
        <v>773</v>
      </c>
      <c r="C111" s="139" t="s">
        <v>490</v>
      </c>
      <c r="D111" s="137" t="s">
        <v>305</v>
      </c>
      <c r="E111" s="96">
        <v>1.0828642292393034</v>
      </c>
      <c r="F111" s="39">
        <v>0.5</v>
      </c>
    </row>
    <row r="112" spans="1:6">
      <c r="A112" s="40">
        <v>110</v>
      </c>
      <c r="B112" s="137" t="s">
        <v>690</v>
      </c>
      <c r="C112" s="139" t="s">
        <v>543</v>
      </c>
      <c r="D112" s="137" t="s">
        <v>407</v>
      </c>
      <c r="E112" s="96">
        <v>1.0895141302531977</v>
      </c>
      <c r="F112" s="39">
        <v>0.5</v>
      </c>
    </row>
    <row r="113" spans="1:6">
      <c r="A113" s="40">
        <v>111</v>
      </c>
      <c r="B113" s="137" t="s">
        <v>685</v>
      </c>
      <c r="C113" s="139" t="s">
        <v>538</v>
      </c>
      <c r="D113" s="137" t="s">
        <v>294</v>
      </c>
      <c r="E113" s="96">
        <v>1.0937893848642228</v>
      </c>
      <c r="F113" s="39">
        <v>0.5</v>
      </c>
    </row>
    <row r="114" spans="1:6">
      <c r="A114" s="40">
        <v>112</v>
      </c>
      <c r="B114" s="137" t="s">
        <v>736</v>
      </c>
      <c r="C114" s="139" t="s">
        <v>590</v>
      </c>
      <c r="D114" s="137" t="s">
        <v>408</v>
      </c>
      <c r="E114" s="96">
        <v>1.0976084590859194</v>
      </c>
      <c r="F114" s="39">
        <v>0.5</v>
      </c>
    </row>
    <row r="115" spans="1:6">
      <c r="A115" s="40">
        <v>113</v>
      </c>
      <c r="B115" s="137" t="s">
        <v>691</v>
      </c>
      <c r="C115" s="139" t="s">
        <v>544</v>
      </c>
      <c r="D115" s="137" t="s">
        <v>407</v>
      </c>
      <c r="E115" s="96">
        <v>1.0977326096325597</v>
      </c>
      <c r="F115" s="39">
        <v>0.5</v>
      </c>
    </row>
    <row r="116" spans="1:6">
      <c r="A116" s="40">
        <v>114</v>
      </c>
      <c r="B116" s="137" t="s">
        <v>638</v>
      </c>
      <c r="C116" s="139" t="s">
        <v>491</v>
      </c>
      <c r="D116" s="137" t="s">
        <v>305</v>
      </c>
      <c r="E116" s="96">
        <v>1.1089317101875573</v>
      </c>
      <c r="F116" s="39">
        <v>0.5</v>
      </c>
    </row>
    <row r="117" spans="1:6">
      <c r="A117" s="40">
        <v>115</v>
      </c>
      <c r="B117" s="137" t="s">
        <v>700</v>
      </c>
      <c r="C117" s="139" t="s">
        <v>554</v>
      </c>
      <c r="D117" s="137" t="s">
        <v>291</v>
      </c>
      <c r="E117" s="96">
        <v>1.1136975589603721</v>
      </c>
      <c r="F117" s="39">
        <v>0.5</v>
      </c>
    </row>
    <row r="118" spans="1:6">
      <c r="A118" s="40">
        <v>116</v>
      </c>
      <c r="B118" s="137" t="s">
        <v>669</v>
      </c>
      <c r="C118" s="139" t="s">
        <v>522</v>
      </c>
      <c r="D118" s="137" t="s">
        <v>409</v>
      </c>
      <c r="E118" s="96">
        <v>1.1191500983326872</v>
      </c>
      <c r="F118" s="39">
        <v>0.5</v>
      </c>
    </row>
    <row r="119" spans="1:6">
      <c r="A119" s="40">
        <v>117</v>
      </c>
      <c r="B119" s="137" t="s">
        <v>707</v>
      </c>
      <c r="C119" s="139" t="s">
        <v>561</v>
      </c>
      <c r="D119" s="137" t="s">
        <v>412</v>
      </c>
      <c r="E119" s="96">
        <v>1.1259082014319202</v>
      </c>
      <c r="F119" s="39">
        <v>0.5</v>
      </c>
    </row>
    <row r="120" spans="1:6">
      <c r="A120" s="40">
        <v>118</v>
      </c>
      <c r="B120" s="137" t="s">
        <v>632</v>
      </c>
      <c r="C120" s="139" t="s">
        <v>484</v>
      </c>
      <c r="D120" s="37" t="s">
        <v>332</v>
      </c>
      <c r="E120" s="96">
        <v>1.1278984943574715</v>
      </c>
      <c r="F120" s="39">
        <v>0.5</v>
      </c>
    </row>
    <row r="121" spans="1:6">
      <c r="A121" s="40">
        <v>119</v>
      </c>
      <c r="B121" s="137" t="s">
        <v>740</v>
      </c>
      <c r="C121" s="139" t="s">
        <v>594</v>
      </c>
      <c r="D121" s="137" t="s">
        <v>298</v>
      </c>
      <c r="E121" s="96">
        <v>1.1304530362822627</v>
      </c>
      <c r="F121" s="39">
        <v>0.5</v>
      </c>
    </row>
    <row r="122" spans="1:6">
      <c r="A122" s="40">
        <v>120</v>
      </c>
      <c r="B122" s="137" t="s">
        <v>733</v>
      </c>
      <c r="C122" s="139" t="s">
        <v>587</v>
      </c>
      <c r="D122" s="137" t="s">
        <v>329</v>
      </c>
      <c r="E122" s="96">
        <v>1.1639978762027812</v>
      </c>
      <c r="F122" s="39">
        <v>0.5</v>
      </c>
    </row>
    <row r="123" spans="1:6">
      <c r="A123" s="40">
        <v>121</v>
      </c>
      <c r="B123" s="137" t="s">
        <v>633</v>
      </c>
      <c r="C123" s="139" t="s">
        <v>485</v>
      </c>
      <c r="D123" s="37" t="s">
        <v>332</v>
      </c>
      <c r="E123" s="96">
        <v>1.1669143147984036</v>
      </c>
      <c r="F123" s="39">
        <v>0.5</v>
      </c>
    </row>
    <row r="124" spans="1:6">
      <c r="A124" s="40">
        <v>122</v>
      </c>
      <c r="B124" s="137" t="s">
        <v>728</v>
      </c>
      <c r="C124" s="139" t="s">
        <v>582</v>
      </c>
      <c r="D124" s="137" t="s">
        <v>329</v>
      </c>
      <c r="E124" s="96">
        <v>1.1779969151080243</v>
      </c>
      <c r="F124" s="39">
        <v>0.5</v>
      </c>
    </row>
    <row r="125" spans="1:6">
      <c r="A125" s="40">
        <v>123</v>
      </c>
      <c r="B125" s="137" t="s">
        <v>639</v>
      </c>
      <c r="C125" s="139" t="s">
        <v>492</v>
      </c>
      <c r="D125" s="137" t="s">
        <v>305</v>
      </c>
      <c r="E125" s="96">
        <v>1.1857581229150673</v>
      </c>
      <c r="F125" s="39">
        <v>0.5</v>
      </c>
    </row>
    <row r="126" spans="1:6">
      <c r="A126" s="40">
        <v>124</v>
      </c>
      <c r="B126" s="38" t="s">
        <v>627</v>
      </c>
      <c r="C126" s="139" t="s">
        <v>479</v>
      </c>
      <c r="D126" s="37" t="s">
        <v>332</v>
      </c>
      <c r="E126" s="96">
        <v>1.1911536042396296</v>
      </c>
      <c r="F126" s="39">
        <v>0.5</v>
      </c>
    </row>
    <row r="127" spans="1:6">
      <c r="A127" s="40">
        <v>125</v>
      </c>
      <c r="B127" s="137" t="s">
        <v>758</v>
      </c>
      <c r="C127" s="139" t="s">
        <v>612</v>
      </c>
      <c r="D127" s="137" t="s">
        <v>404</v>
      </c>
      <c r="E127" s="96">
        <v>1.1925067140553454</v>
      </c>
      <c r="F127" s="39">
        <v>0.5</v>
      </c>
    </row>
    <row r="128" spans="1:6">
      <c r="A128" s="40">
        <v>126</v>
      </c>
      <c r="B128" s="137" t="s">
        <v>674</v>
      </c>
      <c r="C128" s="139" t="s">
        <v>527</v>
      </c>
      <c r="D128" s="137" t="s">
        <v>410</v>
      </c>
      <c r="E128" s="96">
        <v>1.229628518645951</v>
      </c>
      <c r="F128" s="39">
        <v>0.5</v>
      </c>
    </row>
    <row r="129" spans="1:6">
      <c r="A129" s="40">
        <v>127</v>
      </c>
      <c r="B129" s="137" t="s">
        <v>673</v>
      </c>
      <c r="C129" s="139" t="s">
        <v>526</v>
      </c>
      <c r="D129" s="137" t="s">
        <v>410</v>
      </c>
      <c r="E129" s="96">
        <v>1.2305432467557615</v>
      </c>
      <c r="F129" s="39">
        <v>0.5</v>
      </c>
    </row>
    <row r="130" spans="1:6">
      <c r="A130" s="40">
        <v>128</v>
      </c>
      <c r="B130" s="137" t="s">
        <v>709</v>
      </c>
      <c r="C130" s="139" t="s">
        <v>563</v>
      </c>
      <c r="D130" s="137" t="s">
        <v>412</v>
      </c>
      <c r="E130" s="96">
        <v>1.2368078678173902</v>
      </c>
      <c r="F130" s="39">
        <v>0.5</v>
      </c>
    </row>
    <row r="131" spans="1:6">
      <c r="A131" s="40">
        <v>129</v>
      </c>
      <c r="B131" s="137" t="s">
        <v>644</v>
      </c>
      <c r="C131" s="139" t="s">
        <v>497</v>
      </c>
      <c r="D131" s="137" t="s">
        <v>405</v>
      </c>
      <c r="E131" s="96">
        <v>1.2370961149734168</v>
      </c>
      <c r="F131" s="39">
        <v>0.5</v>
      </c>
    </row>
    <row r="132" spans="1:6">
      <c r="A132" s="40">
        <v>130</v>
      </c>
      <c r="B132" s="137" t="s">
        <v>677</v>
      </c>
      <c r="C132" s="139" t="s">
        <v>530</v>
      </c>
      <c r="D132" s="137" t="s">
        <v>410</v>
      </c>
      <c r="E132" s="96">
        <v>1.2373475595625127</v>
      </c>
      <c r="F132" s="39">
        <v>0.5</v>
      </c>
    </row>
    <row r="133" spans="1:6">
      <c r="A133" s="40">
        <v>131</v>
      </c>
      <c r="B133" s="137" t="s">
        <v>646</v>
      </c>
      <c r="C133" s="139" t="s">
        <v>499</v>
      </c>
      <c r="D133" s="137" t="s">
        <v>405</v>
      </c>
      <c r="E133" s="96">
        <v>1.2761548706139563</v>
      </c>
      <c r="F133" s="39">
        <v>0.5</v>
      </c>
    </row>
    <row r="134" spans="1:6">
      <c r="A134" s="40">
        <v>132</v>
      </c>
      <c r="B134" s="137" t="s">
        <v>746</v>
      </c>
      <c r="C134" s="139" t="s">
        <v>600</v>
      </c>
      <c r="D134" s="137" t="s">
        <v>298</v>
      </c>
      <c r="E134" s="96">
        <v>1.311439261229534</v>
      </c>
      <c r="F134" s="39">
        <v>0.5</v>
      </c>
    </row>
    <row r="135" spans="1:6">
      <c r="A135" s="40">
        <v>133</v>
      </c>
      <c r="B135" s="38" t="s">
        <v>628</v>
      </c>
      <c r="C135" s="139" t="s">
        <v>480</v>
      </c>
      <c r="D135" s="37" t="s">
        <v>332</v>
      </c>
      <c r="E135" s="96">
        <v>1.3245288356546556</v>
      </c>
      <c r="F135" s="39">
        <v>0.5</v>
      </c>
    </row>
    <row r="136" spans="1:6">
      <c r="A136" s="40">
        <v>134</v>
      </c>
      <c r="B136" s="137" t="s">
        <v>734</v>
      </c>
      <c r="C136" s="139" t="s">
        <v>588</v>
      </c>
      <c r="D136" s="137" t="s">
        <v>408</v>
      </c>
      <c r="E136" s="96">
        <v>1.3498793807557898</v>
      </c>
      <c r="F136" s="39">
        <v>0.5</v>
      </c>
    </row>
    <row r="137" spans="1:6">
      <c r="A137" s="40">
        <v>135</v>
      </c>
      <c r="B137" s="137" t="s">
        <v>634</v>
      </c>
      <c r="C137" s="139" t="s">
        <v>486</v>
      </c>
      <c r="D137" s="37" t="s">
        <v>332</v>
      </c>
      <c r="E137" s="96">
        <v>1.360737990523895</v>
      </c>
      <c r="F137" s="39">
        <v>0.5</v>
      </c>
    </row>
    <row r="138" spans="1:6">
      <c r="A138" s="40">
        <v>136</v>
      </c>
      <c r="B138" s="137" t="s">
        <v>735</v>
      </c>
      <c r="C138" s="139" t="s">
        <v>589</v>
      </c>
      <c r="D138" s="137" t="s">
        <v>408</v>
      </c>
      <c r="E138" s="96">
        <v>1.3819172408721712</v>
      </c>
      <c r="F138" s="39">
        <v>0.5</v>
      </c>
    </row>
    <row r="139" spans="1:6">
      <c r="A139" s="40">
        <v>137</v>
      </c>
      <c r="B139" s="137" t="s">
        <v>726</v>
      </c>
      <c r="C139" s="139" t="s">
        <v>580</v>
      </c>
      <c r="D139" s="137" t="s">
        <v>329</v>
      </c>
      <c r="E139" s="96">
        <v>1.386736858040776</v>
      </c>
      <c r="F139" s="39">
        <v>0.5</v>
      </c>
    </row>
    <row r="140" spans="1:6">
      <c r="A140" s="40">
        <v>138</v>
      </c>
      <c r="B140" s="137" t="s">
        <v>672</v>
      </c>
      <c r="C140" s="139" t="s">
        <v>525</v>
      </c>
      <c r="D140" s="137" t="s">
        <v>410</v>
      </c>
      <c r="E140" s="96">
        <v>1.392862526628065</v>
      </c>
      <c r="F140" s="39">
        <v>0.5</v>
      </c>
    </row>
    <row r="141" spans="1:6">
      <c r="A141" s="40">
        <v>139</v>
      </c>
      <c r="B141" s="137" t="s">
        <v>730</v>
      </c>
      <c r="C141" s="139" t="s">
        <v>584</v>
      </c>
      <c r="D141" s="137" t="s">
        <v>329</v>
      </c>
      <c r="E141" s="96">
        <v>1.3975203220772978</v>
      </c>
      <c r="F141" s="39">
        <v>0.5</v>
      </c>
    </row>
    <row r="142" spans="1:6">
      <c r="A142" s="40">
        <v>140</v>
      </c>
      <c r="B142" s="137" t="s">
        <v>699</v>
      </c>
      <c r="C142" s="139" t="s">
        <v>553</v>
      </c>
      <c r="D142" s="137" t="s">
        <v>291</v>
      </c>
      <c r="E142" s="96">
        <v>1.405812413306277</v>
      </c>
      <c r="F142" s="39">
        <v>0.5</v>
      </c>
    </row>
    <row r="143" spans="1:6">
      <c r="A143" s="40">
        <v>141</v>
      </c>
      <c r="B143" s="137" t="s">
        <v>745</v>
      </c>
      <c r="C143" s="139" t="s">
        <v>599</v>
      </c>
      <c r="D143" s="137" t="s">
        <v>298</v>
      </c>
      <c r="E143" s="96">
        <v>1.4158563533875566</v>
      </c>
      <c r="F143" s="39">
        <v>0.5</v>
      </c>
    </row>
    <row r="144" spans="1:6">
      <c r="A144" s="40">
        <v>142</v>
      </c>
      <c r="B144" s="137" t="s">
        <v>697</v>
      </c>
      <c r="C144" s="139" t="s">
        <v>550</v>
      </c>
      <c r="D144" s="137" t="s">
        <v>291</v>
      </c>
      <c r="E144" s="96">
        <v>1.44730508785939</v>
      </c>
      <c r="F144" s="39">
        <v>0.5</v>
      </c>
    </row>
    <row r="145" spans="1:6">
      <c r="A145" s="40">
        <v>143</v>
      </c>
      <c r="B145" s="137" t="s">
        <v>738</v>
      </c>
      <c r="C145" s="139" t="s">
        <v>592</v>
      </c>
      <c r="D145" s="137" t="s">
        <v>408</v>
      </c>
      <c r="E145" s="96">
        <v>1.4697198616767049</v>
      </c>
      <c r="F145" s="39">
        <v>0.5</v>
      </c>
    </row>
    <row r="146" spans="1:6">
      <c r="A146" s="40">
        <v>144</v>
      </c>
      <c r="B146" s="137" t="s">
        <v>645</v>
      </c>
      <c r="C146" s="139" t="s">
        <v>498</v>
      </c>
      <c r="D146" s="137" t="s">
        <v>405</v>
      </c>
      <c r="E146" s="96">
        <v>1.5029992791954556</v>
      </c>
      <c r="F146" s="39">
        <v>0.5</v>
      </c>
    </row>
    <row r="147" spans="1:6">
      <c r="A147" s="40">
        <v>145</v>
      </c>
      <c r="B147" s="137" t="s">
        <v>635</v>
      </c>
      <c r="C147" s="139" t="s">
        <v>487</v>
      </c>
      <c r="D147" s="137" t="s">
        <v>305</v>
      </c>
      <c r="E147" s="96">
        <v>1.5096207672209685</v>
      </c>
      <c r="F147" s="39">
        <v>0.5</v>
      </c>
    </row>
    <row r="148" spans="1:6">
      <c r="A148" s="40">
        <v>146</v>
      </c>
      <c r="B148" s="137" t="s">
        <v>774</v>
      </c>
      <c r="C148" s="139" t="s">
        <v>551</v>
      </c>
      <c r="D148" s="137" t="s">
        <v>291</v>
      </c>
      <c r="E148" s="96">
        <v>1.5251336383943452</v>
      </c>
      <c r="F148" s="39">
        <v>0.5</v>
      </c>
    </row>
    <row r="149" spans="1:6">
      <c r="A149" s="40">
        <v>147</v>
      </c>
      <c r="B149" s="137" t="s">
        <v>729</v>
      </c>
      <c r="C149" s="139" t="s">
        <v>583</v>
      </c>
      <c r="D149" s="137" t="s">
        <v>329</v>
      </c>
      <c r="E149" s="96">
        <v>1.5458940346374159</v>
      </c>
      <c r="F149" s="39">
        <v>0.5</v>
      </c>
    </row>
    <row r="150" spans="1:6">
      <c r="A150" s="40">
        <v>148</v>
      </c>
      <c r="B150" s="137" t="s">
        <v>706</v>
      </c>
      <c r="C150" s="139" t="s">
        <v>560</v>
      </c>
      <c r="D150" s="137" t="s">
        <v>412</v>
      </c>
      <c r="E150" s="96">
        <v>1.8122785760035098</v>
      </c>
      <c r="F150" s="39">
        <v>0.5</v>
      </c>
    </row>
  </sheetData>
  <autoFilter ref="A1:F150"/>
  <sortState ref="A4:F150">
    <sortCondition ref="E3:E150"/>
  </sortState>
  <mergeCells count="6">
    <mergeCell ref="F1:F2"/>
    <mergeCell ref="A1:A2"/>
    <mergeCell ref="B1:B2"/>
    <mergeCell ref="C1:C2"/>
    <mergeCell ref="D1:D2"/>
    <mergeCell ref="E1:E2"/>
  </mergeCells>
  <pageMargins left="0.23622047244094491" right="0.23622047244094491" top="0.74803149606299213" bottom="0.74803149606299213" header="0.31496062992125984" footer="0.31496062992125984"/>
  <pageSetup paperSize="9" scale="89" fitToHeight="0" orientation="portrait" r:id="rId1"/>
  <headerFooter>
    <oddHeader>&amp;LWojewództwo śląskie - gminy, poziomy dofinansowania</oddHeader>
    <oddFooter>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"/>
  <sheetViews>
    <sheetView showGridLines="0" view="pageBreakPreview" zoomScale="175" zoomScaleNormal="78" zoomScaleSheetLayoutView="175" workbookViewId="0">
      <selection activeCell="F7" sqref="F7"/>
    </sheetView>
  </sheetViews>
  <sheetFormatPr defaultColWidth="9.140625" defaultRowHeight="15"/>
  <cols>
    <col min="1" max="1" width="5.5703125" style="11" customWidth="1"/>
    <col min="2" max="3" width="15.7109375" style="11" customWidth="1"/>
    <col min="4" max="4" width="22.28515625" style="11" customWidth="1"/>
    <col min="5" max="5" width="15.7109375" style="1" customWidth="1"/>
    <col min="6" max="6" width="12" style="11" bestFit="1" customWidth="1"/>
    <col min="7" max="16384" width="9.140625" style="11"/>
  </cols>
  <sheetData>
    <row r="1" spans="1:7" ht="20.100000000000001" customHeight="1">
      <c r="A1" s="626" t="s">
        <v>4</v>
      </c>
      <c r="B1" s="627" t="s">
        <v>32</v>
      </c>
      <c r="C1" s="627" t="s">
        <v>30</v>
      </c>
      <c r="D1" s="629" t="s">
        <v>43</v>
      </c>
      <c r="E1" s="627" t="s">
        <v>11</v>
      </c>
    </row>
    <row r="2" spans="1:7" ht="39.75" customHeight="1">
      <c r="A2" s="626"/>
      <c r="B2" s="628"/>
      <c r="C2" s="628"/>
      <c r="D2" s="630"/>
      <c r="E2" s="628"/>
    </row>
    <row r="3" spans="1:7">
      <c r="A3" s="37">
        <v>1</v>
      </c>
      <c r="B3" s="38" t="s">
        <v>477</v>
      </c>
      <c r="C3" s="38" t="s">
        <v>464</v>
      </c>
      <c r="D3" s="96">
        <v>0.7281587087278707</v>
      </c>
      <c r="E3" s="39">
        <v>0.6</v>
      </c>
    </row>
    <row r="4" spans="1:7">
      <c r="A4" s="37">
        <v>2</v>
      </c>
      <c r="B4" s="38" t="s">
        <v>473</v>
      </c>
      <c r="C4" s="38" t="s">
        <v>459</v>
      </c>
      <c r="D4" s="96">
        <v>0.76549986094505451</v>
      </c>
      <c r="E4" s="39">
        <v>0.6</v>
      </c>
    </row>
    <row r="5" spans="1:7">
      <c r="A5" s="37">
        <v>3</v>
      </c>
      <c r="B5" s="38" t="s">
        <v>406</v>
      </c>
      <c r="C5" s="38" t="s">
        <v>451</v>
      </c>
      <c r="D5" s="96">
        <v>0.79247839325145741</v>
      </c>
      <c r="E5" s="39">
        <v>0.6</v>
      </c>
    </row>
    <row r="6" spans="1:7">
      <c r="A6" s="37">
        <v>4</v>
      </c>
      <c r="B6" s="38" t="s">
        <v>414</v>
      </c>
      <c r="C6" s="38" t="s">
        <v>467</v>
      </c>
      <c r="D6" s="96">
        <v>0.84850775452525684</v>
      </c>
      <c r="E6" s="39">
        <v>0.55000000000000004</v>
      </c>
    </row>
    <row r="7" spans="1:7">
      <c r="A7" s="37">
        <v>5</v>
      </c>
      <c r="B7" s="38" t="s">
        <v>342</v>
      </c>
      <c r="C7" s="38" t="s">
        <v>466</v>
      </c>
      <c r="D7" s="96">
        <v>0.85373368115152892</v>
      </c>
      <c r="E7" s="39">
        <v>0.5</v>
      </c>
    </row>
    <row r="8" spans="1:7">
      <c r="A8" s="37">
        <v>6</v>
      </c>
      <c r="B8" s="38" t="s">
        <v>411</v>
      </c>
      <c r="C8" s="38" t="s">
        <v>458</v>
      </c>
      <c r="D8" s="96">
        <v>0.86312109392565584</v>
      </c>
      <c r="E8" s="39">
        <v>0.5</v>
      </c>
      <c r="F8" s="358"/>
    </row>
    <row r="9" spans="1:7">
      <c r="A9" s="37">
        <v>7</v>
      </c>
      <c r="B9" s="38" t="s">
        <v>476</v>
      </c>
      <c r="C9" s="38" t="s">
        <v>463</v>
      </c>
      <c r="D9" s="96">
        <v>0.86787596869877548</v>
      </c>
      <c r="E9" s="39">
        <v>0.5</v>
      </c>
    </row>
    <row r="10" spans="1:7">
      <c r="A10" s="37">
        <v>8</v>
      </c>
      <c r="B10" s="38" t="s">
        <v>471</v>
      </c>
      <c r="C10" s="38" t="s">
        <v>456</v>
      </c>
      <c r="D10" s="96">
        <v>0.86966012034348195</v>
      </c>
      <c r="E10" s="39">
        <v>0.5</v>
      </c>
    </row>
    <row r="11" spans="1:7" ht="24">
      <c r="A11" s="37">
        <v>9</v>
      </c>
      <c r="B11" s="38" t="s">
        <v>475</v>
      </c>
      <c r="C11" s="38" t="s">
        <v>462</v>
      </c>
      <c r="D11" s="96">
        <v>0.89484109982485804</v>
      </c>
      <c r="E11" s="39">
        <v>0.5</v>
      </c>
    </row>
    <row r="12" spans="1:7">
      <c r="A12" s="37">
        <v>10</v>
      </c>
      <c r="B12" s="38" t="s">
        <v>314</v>
      </c>
      <c r="C12" s="38" t="s">
        <v>453</v>
      </c>
      <c r="D12" s="96">
        <v>0.92713706809638396</v>
      </c>
      <c r="E12" s="39">
        <v>0.5</v>
      </c>
    </row>
    <row r="13" spans="1:7">
      <c r="A13" s="37">
        <v>11</v>
      </c>
      <c r="B13" s="38" t="s">
        <v>474</v>
      </c>
      <c r="C13" s="38" t="s">
        <v>460</v>
      </c>
      <c r="D13" s="96">
        <v>0.93080501804764004</v>
      </c>
      <c r="E13" s="39">
        <v>0.5</v>
      </c>
      <c r="F13" s="359"/>
      <c r="G13" s="360"/>
    </row>
    <row r="14" spans="1:7">
      <c r="A14" s="37">
        <v>12</v>
      </c>
      <c r="B14" s="38" t="s">
        <v>469</v>
      </c>
      <c r="C14" s="38" t="s">
        <v>452</v>
      </c>
      <c r="D14" s="96">
        <v>0.98441970074194851</v>
      </c>
      <c r="E14" s="39">
        <v>0.5</v>
      </c>
      <c r="F14" s="347"/>
    </row>
    <row r="15" spans="1:7">
      <c r="A15" s="37">
        <v>13</v>
      </c>
      <c r="B15" s="38" t="s">
        <v>413</v>
      </c>
      <c r="C15" s="38" t="s">
        <v>461</v>
      </c>
      <c r="D15" s="96">
        <v>1.0082404595044481</v>
      </c>
      <c r="E15" s="39">
        <v>0.5</v>
      </c>
    </row>
    <row r="16" spans="1:7">
      <c r="A16" s="37">
        <v>14</v>
      </c>
      <c r="B16" s="38" t="s">
        <v>472</v>
      </c>
      <c r="C16" s="38" t="s">
        <v>457</v>
      </c>
      <c r="D16" s="96">
        <v>1.0508254003672473</v>
      </c>
      <c r="E16" s="39">
        <v>0.5</v>
      </c>
      <c r="F16" s="341"/>
      <c r="G16" s="342"/>
    </row>
    <row r="17" spans="1:6">
      <c r="A17" s="37">
        <v>15</v>
      </c>
      <c r="B17" s="38" t="s">
        <v>468</v>
      </c>
      <c r="C17" s="38" t="s">
        <v>450</v>
      </c>
      <c r="D17" s="96">
        <v>1.0943960456386441</v>
      </c>
      <c r="E17" s="39">
        <v>0.5</v>
      </c>
      <c r="F17" s="347"/>
    </row>
    <row r="18" spans="1:6">
      <c r="A18" s="37">
        <v>16</v>
      </c>
      <c r="B18" s="38" t="s">
        <v>478</v>
      </c>
      <c r="C18" s="38" t="s">
        <v>465</v>
      </c>
      <c r="D18" s="96">
        <v>1.1583766734687897</v>
      </c>
      <c r="E18" s="39">
        <v>0.5</v>
      </c>
      <c r="F18" s="121"/>
    </row>
    <row r="19" spans="1:6">
      <c r="A19" s="37">
        <v>17</v>
      </c>
      <c r="B19" s="38" t="s">
        <v>335</v>
      </c>
      <c r="C19" s="38" t="s">
        <v>455</v>
      </c>
      <c r="D19" s="96">
        <v>1.2841222685642981</v>
      </c>
      <c r="E19" s="39">
        <v>0.5</v>
      </c>
    </row>
    <row r="20" spans="1:6">
      <c r="A20" s="37">
        <v>18</v>
      </c>
      <c r="B20" s="38" t="s">
        <v>470</v>
      </c>
      <c r="C20" s="38" t="s">
        <v>454</v>
      </c>
      <c r="D20" s="96">
        <v>1.2950406621039174</v>
      </c>
      <c r="E20" s="39">
        <v>0.5</v>
      </c>
    </row>
    <row r="27" spans="1:6">
      <c r="D27" s="227"/>
    </row>
  </sheetData>
  <autoFilter ref="A1:E20"/>
  <sortState ref="A3:E20">
    <sortCondition ref="D3:D20"/>
  </sortState>
  <mergeCells count="5">
    <mergeCell ref="E1:E2"/>
    <mergeCell ref="A1:A2"/>
    <mergeCell ref="B1:B2"/>
    <mergeCell ref="C1:C2"/>
    <mergeCell ref="D1:D2"/>
  </mergeCells>
  <dataValidations count="1">
    <dataValidation type="custom" allowBlank="1" showInputMessage="1" showErrorMessage="1" sqref="F18 D27">
      <formula1>NOT(D18)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Header>&amp;LWojewództwo śląskie - miasta na prawach powiatu, poziomy dofinansowania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15</vt:i4>
      </vt:variant>
    </vt:vector>
  </HeadingPairs>
  <TitlesOfParts>
    <vt:vector size="23" baseType="lpstr">
      <vt:lpstr>24 - śląskie</vt:lpstr>
      <vt:lpstr>pow podst</vt:lpstr>
      <vt:lpstr>gm podst</vt:lpstr>
      <vt:lpstr>pow rez</vt:lpstr>
      <vt:lpstr>gm rez</vt:lpstr>
      <vt:lpstr>pow poz dof</vt:lpstr>
      <vt:lpstr>gm poz dof</vt:lpstr>
      <vt:lpstr>mpp poz dof</vt:lpstr>
      <vt:lpstr>'24 - śląskie'!Obszar_wydruku</vt:lpstr>
      <vt:lpstr>'gm podst'!Obszar_wydruku</vt:lpstr>
      <vt:lpstr>'gm poz dof'!Obszar_wydruku</vt:lpstr>
      <vt:lpstr>'gm rez'!Obszar_wydruku</vt:lpstr>
      <vt:lpstr>'mpp poz dof'!Obszar_wydruku</vt:lpstr>
      <vt:lpstr>'pow podst'!Obszar_wydruku</vt:lpstr>
      <vt:lpstr>'pow poz dof'!Obszar_wydruku</vt:lpstr>
      <vt:lpstr>'pow rez'!Obszar_wydruku</vt:lpstr>
      <vt:lpstr>'gm podst'!Tytuły_wydruku</vt:lpstr>
      <vt:lpstr>'gm poz dof'!Tytuły_wydruku</vt:lpstr>
      <vt:lpstr>'gm rez'!Tytuły_wydruku</vt:lpstr>
      <vt:lpstr>'mpp poz dof'!Tytuły_wydruku</vt:lpstr>
      <vt:lpstr>'pow podst'!Tytuły_wydruku</vt:lpstr>
      <vt:lpstr>'pow poz dof'!Tytuły_wydruku</vt:lpstr>
      <vt:lpstr>'pow rez'!Tytuły_wydruku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chalupczakk</cp:lastModifiedBy>
  <cp:lastPrinted>2020-03-30T14:06:54Z</cp:lastPrinted>
  <dcterms:created xsi:type="dcterms:W3CDTF">2019-02-25T10:53:14Z</dcterms:created>
  <dcterms:modified xsi:type="dcterms:W3CDTF">2020-12-22T06:57:34Z</dcterms:modified>
</cp:coreProperties>
</file>