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en_skoroszyt"/>
  <bookViews>
    <workbookView xWindow="0" yWindow="0" windowWidth="19440" windowHeight="12225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podst'!$A$2:$DI$75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podst'!$A$1:$X$82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25725"/>
</workbook>
</file>

<file path=xl/calcChain.xml><?xml version="1.0" encoding="utf-8"?>
<calcChain xmlns="http://schemas.openxmlformats.org/spreadsheetml/2006/main">
  <c r="L70" i="5"/>
  <c r="S70"/>
  <c r="M71"/>
  <c r="M70"/>
  <c r="L23" i="3"/>
  <c r="L28" i="5" l="1"/>
  <c r="Y44" i="3" l="1"/>
  <c r="L44"/>
  <c r="Y43" l="1"/>
  <c r="L43"/>
  <c r="Y42"/>
  <c r="R42"/>
  <c r="L42"/>
  <c r="Y41" l="1"/>
  <c r="Z67" i="5" l="1"/>
  <c r="AA67" s="1"/>
  <c r="Y67"/>
  <c r="M67"/>
  <c r="AB67" s="1"/>
  <c r="Y66"/>
  <c r="Z66"/>
  <c r="AA66" s="1"/>
  <c r="M66"/>
  <c r="AB66" s="1"/>
  <c r="S65"/>
  <c r="Y65" s="1"/>
  <c r="Z65"/>
  <c r="AA65" s="1"/>
  <c r="M65"/>
  <c r="AB65" s="1"/>
  <c r="Y40" i="3"/>
  <c r="Y39"/>
  <c r="Y38"/>
  <c r="Y37"/>
  <c r="K35"/>
  <c r="T60" i="5"/>
  <c r="H30" i="7" l="1"/>
  <c r="M64" i="5"/>
  <c r="AB64" s="1"/>
  <c r="M63"/>
  <c r="AB63" s="1"/>
  <c r="AB62"/>
  <c r="Z62"/>
  <c r="AA62" s="1"/>
  <c r="Y62"/>
  <c r="Y63"/>
  <c r="Z63"/>
  <c r="AA63" s="1"/>
  <c r="Y64"/>
  <c r="Z64"/>
  <c r="AA64" s="1"/>
  <c r="J19" i="3" l="1"/>
  <c r="L10" l="1"/>
  <c r="K10"/>
  <c r="J10" s="1"/>
  <c r="Y61" i="5" l="1"/>
  <c r="Y36" i="3"/>
  <c r="L36"/>
  <c r="Y35"/>
  <c r="L35"/>
  <c r="Y34"/>
  <c r="R34"/>
  <c r="Z61" i="5" l="1"/>
  <c r="AA61" s="1"/>
  <c r="AB61"/>
  <c r="L60" l="1"/>
  <c r="Y60" s="1"/>
  <c r="AB59"/>
  <c r="Y59"/>
  <c r="Z59"/>
  <c r="AA59" s="1"/>
  <c r="Z60" l="1"/>
  <c r="AA60" s="1"/>
  <c r="M60"/>
  <c r="AB60" s="1"/>
  <c r="R21" i="3" l="1"/>
  <c r="K44" i="5" l="1"/>
  <c r="K22" l="1"/>
  <c r="Y33" i="3" l="1"/>
  <c r="L33"/>
  <c r="K24" i="5" l="1"/>
  <c r="K20"/>
  <c r="K12"/>
  <c r="J16" i="3" l="1"/>
  <c r="J15"/>
  <c r="J12"/>
  <c r="L56" i="5" l="1"/>
  <c r="M56" s="1"/>
  <c r="AB56" s="1"/>
  <c r="K28" i="3"/>
  <c r="K48" s="1"/>
  <c r="J29" i="7"/>
  <c r="T44" i="6"/>
  <c r="U43"/>
  <c r="V43"/>
  <c r="U44"/>
  <c r="V44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Y4" i="5"/>
  <c r="Z4"/>
  <c r="AA4" s="1"/>
  <c r="AB4"/>
  <c r="Y5"/>
  <c r="Z5"/>
  <c r="AA5" s="1"/>
  <c r="Y8"/>
  <c r="Z8"/>
  <c r="AA8" s="1"/>
  <c r="Z10"/>
  <c r="AA10" s="1"/>
  <c r="Y11"/>
  <c r="Z11"/>
  <c r="AA11" s="1"/>
  <c r="AB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Y20"/>
  <c r="Z20"/>
  <c r="AA20" s="1"/>
  <c r="AB20"/>
  <c r="Y21"/>
  <c r="Z21"/>
  <c r="AA21" s="1"/>
  <c r="AB21"/>
  <c r="Y22"/>
  <c r="Z22"/>
  <c r="AA22" s="1"/>
  <c r="AB22"/>
  <c r="Y23"/>
  <c r="Z23"/>
  <c r="AA23" s="1"/>
  <c r="AB23"/>
  <c r="Y24"/>
  <c r="Z24"/>
  <c r="AA24" s="1"/>
  <c r="AB24"/>
  <c r="Y25"/>
  <c r="Z25"/>
  <c r="AA25" s="1"/>
  <c r="Y26"/>
  <c r="Z26"/>
  <c r="AA26" s="1"/>
  <c r="Y27"/>
  <c r="Z27"/>
  <c r="AA27" s="1"/>
  <c r="Y28"/>
  <c r="Z28"/>
  <c r="AA28" s="1"/>
  <c r="Y29"/>
  <c r="Z29"/>
  <c r="AA29" s="1"/>
  <c r="Y30"/>
  <c r="Z30"/>
  <c r="AA30" s="1"/>
  <c r="Y31"/>
  <c r="Z31"/>
  <c r="AA31" s="1"/>
  <c r="Y32"/>
  <c r="Z32"/>
  <c r="AA32" s="1"/>
  <c r="Y33"/>
  <c r="Z33"/>
  <c r="AA33" s="1"/>
  <c r="Y34"/>
  <c r="Z34"/>
  <c r="AA34" s="1"/>
  <c r="Y35"/>
  <c r="Z35"/>
  <c r="AA35" s="1"/>
  <c r="Y37"/>
  <c r="Z37"/>
  <c r="AA37" s="1"/>
  <c r="Y38"/>
  <c r="Z38"/>
  <c r="AA38" s="1"/>
  <c r="Y39"/>
  <c r="Z39"/>
  <c r="AA39" s="1"/>
  <c r="Y41"/>
  <c r="Z41"/>
  <c r="AA41" s="1"/>
  <c r="Y42"/>
  <c r="Z42"/>
  <c r="AA42" s="1"/>
  <c r="Y43"/>
  <c r="Z43"/>
  <c r="AA43" s="1"/>
  <c r="Y44"/>
  <c r="Z44"/>
  <c r="AA44" s="1"/>
  <c r="Y45"/>
  <c r="Z45"/>
  <c r="AA45" s="1"/>
  <c r="Y46"/>
  <c r="Z46"/>
  <c r="AA46" s="1"/>
  <c r="Y47"/>
  <c r="Z47"/>
  <c r="AA47" s="1"/>
  <c r="Y48"/>
  <c r="Z48"/>
  <c r="AA48" s="1"/>
  <c r="Y49"/>
  <c r="Z49"/>
  <c r="AA49" s="1"/>
  <c r="Y50"/>
  <c r="Z50"/>
  <c r="AA50" s="1"/>
  <c r="Y51"/>
  <c r="Z51"/>
  <c r="AA51" s="1"/>
  <c r="Y52"/>
  <c r="Z52"/>
  <c r="AA52" s="1"/>
  <c r="Y53"/>
  <c r="Z53"/>
  <c r="AA53" s="1"/>
  <c r="Y54"/>
  <c r="Z54"/>
  <c r="AA54" s="1"/>
  <c r="Y55"/>
  <c r="Z55"/>
  <c r="AA55" s="1"/>
  <c r="M26"/>
  <c r="AB26" s="1"/>
  <c r="M27"/>
  <c r="AB27" s="1"/>
  <c r="AB28"/>
  <c r="AB29"/>
  <c r="AB30"/>
  <c r="M31"/>
  <c r="AB31" s="1"/>
  <c r="M32"/>
  <c r="AB32" s="1"/>
  <c r="M33"/>
  <c r="AB33" s="1"/>
  <c r="AB34"/>
  <c r="M35"/>
  <c r="AB35" s="1"/>
  <c r="M37"/>
  <c r="AB37" s="1"/>
  <c r="AB38"/>
  <c r="M39"/>
  <c r="AB39" s="1"/>
  <c r="M41"/>
  <c r="AB41" s="1"/>
  <c r="M42"/>
  <c r="AB42" s="1"/>
  <c r="M43"/>
  <c r="AB43" s="1"/>
  <c r="AB44"/>
  <c r="M45"/>
  <c r="AB45" s="1"/>
  <c r="AB46"/>
  <c r="M47"/>
  <c r="AB47" s="1"/>
  <c r="AB48"/>
  <c r="AB49"/>
  <c r="AB50"/>
  <c r="M51"/>
  <c r="AB51" s="1"/>
  <c r="AB52"/>
  <c r="M53"/>
  <c r="AB53" s="1"/>
  <c r="AB54"/>
  <c r="M55"/>
  <c r="AB55" s="1"/>
  <c r="M25"/>
  <c r="AB25" s="1"/>
  <c r="Y4" i="4"/>
  <c r="Y5"/>
  <c r="Y6"/>
  <c r="Y7"/>
  <c r="Y8"/>
  <c r="Y9"/>
  <c r="Y10"/>
  <c r="Y11"/>
  <c r="Y12"/>
  <c r="Y13"/>
  <c r="Y14"/>
  <c r="Y15"/>
  <c r="Y3"/>
  <c r="L20" i="3"/>
  <c r="L22"/>
  <c r="L32"/>
  <c r="L18"/>
  <c r="Y5"/>
  <c r="Z5" s="1"/>
  <c r="Y6"/>
  <c r="Z6" s="1"/>
  <c r="Y8"/>
  <c r="Z8" s="1"/>
  <c r="Y9"/>
  <c r="Y10"/>
  <c r="Y11"/>
  <c r="Y12"/>
  <c r="Y13"/>
  <c r="Y14"/>
  <c r="Y15"/>
  <c r="Y16"/>
  <c r="Y17"/>
  <c r="Y18"/>
  <c r="Y19"/>
  <c r="Y20"/>
  <c r="Y21"/>
  <c r="Y22"/>
  <c r="Y23"/>
  <c r="Y24"/>
  <c r="Y26"/>
  <c r="Y29"/>
  <c r="Y30"/>
  <c r="Y31"/>
  <c r="Y32"/>
  <c r="R10" i="5"/>
  <c r="Y10" s="1"/>
  <c r="M10"/>
  <c r="AB10" s="1"/>
  <c r="L9"/>
  <c r="Y9" s="1"/>
  <c r="M8"/>
  <c r="AB8" s="1"/>
  <c r="L7"/>
  <c r="M7" s="1"/>
  <c r="L6"/>
  <c r="K6" s="1"/>
  <c r="M5"/>
  <c r="AB5" s="1"/>
  <c r="AB3"/>
  <c r="Z3"/>
  <c r="AA3" s="1"/>
  <c r="Y3"/>
  <c r="X8" i="3"/>
  <c r="L8"/>
  <c r="AA8" s="1"/>
  <c r="K7"/>
  <c r="L7" s="1"/>
  <c r="AA7" s="1"/>
  <c r="X6"/>
  <c r="L6"/>
  <c r="AA6" s="1"/>
  <c r="X5"/>
  <c r="L5"/>
  <c r="AA5" s="1"/>
  <c r="K4"/>
  <c r="K3"/>
  <c r="L3" s="1"/>
  <c r="I30" i="7"/>
  <c r="B29"/>
  <c r="B21"/>
  <c r="B20"/>
  <c r="B19"/>
  <c r="G21"/>
  <c r="H21"/>
  <c r="I21"/>
  <c r="J21"/>
  <c r="K21"/>
  <c r="L21"/>
  <c r="M21"/>
  <c r="N21"/>
  <c r="O21"/>
  <c r="G20"/>
  <c r="I20"/>
  <c r="J20"/>
  <c r="K20"/>
  <c r="L20"/>
  <c r="M20"/>
  <c r="N20"/>
  <c r="O20"/>
  <c r="G19"/>
  <c r="H19"/>
  <c r="J19"/>
  <c r="K19"/>
  <c r="L19"/>
  <c r="M19"/>
  <c r="N19"/>
  <c r="O19"/>
  <c r="J18"/>
  <c r="K18"/>
  <c r="L18"/>
  <c r="M18"/>
  <c r="N18"/>
  <c r="O18"/>
  <c r="G18"/>
  <c r="F21"/>
  <c r="F20"/>
  <c r="F19"/>
  <c r="F18"/>
  <c r="E20"/>
  <c r="C21"/>
  <c r="X72" i="5"/>
  <c r="T75"/>
  <c r="U75"/>
  <c r="V75"/>
  <c r="W75"/>
  <c r="X75"/>
  <c r="T74"/>
  <c r="U74"/>
  <c r="V74"/>
  <c r="W74"/>
  <c r="X74"/>
  <c r="V73"/>
  <c r="W73"/>
  <c r="X73"/>
  <c r="U73"/>
  <c r="T73"/>
  <c r="U72"/>
  <c r="V72"/>
  <c r="W72"/>
  <c r="T72"/>
  <c r="S75"/>
  <c r="S74"/>
  <c r="S73"/>
  <c r="S72"/>
  <c r="R75"/>
  <c r="R74"/>
  <c r="Q75"/>
  <c r="Q73"/>
  <c r="P75"/>
  <c r="P74"/>
  <c r="P73"/>
  <c r="P72"/>
  <c r="O75"/>
  <c r="O74"/>
  <c r="O73"/>
  <c r="O72"/>
  <c r="L74"/>
  <c r="K75"/>
  <c r="I75"/>
  <c r="I74"/>
  <c r="I73"/>
  <c r="I72"/>
  <c r="K74"/>
  <c r="C20" i="7"/>
  <c r="Q74" i="5"/>
  <c r="H20" i="7"/>
  <c r="H18"/>
  <c r="Q72" i="5"/>
  <c r="O45" i="6"/>
  <c r="O44"/>
  <c r="O43"/>
  <c r="C17" i="7"/>
  <c r="L43" i="6"/>
  <c r="L44"/>
  <c r="L45"/>
  <c r="I43"/>
  <c r="N18" i="4"/>
  <c r="N17"/>
  <c r="N16"/>
  <c r="O31" i="7"/>
  <c r="N31"/>
  <c r="M31"/>
  <c r="L31"/>
  <c r="K31"/>
  <c r="J31"/>
  <c r="J48" s="1"/>
  <c r="R44" i="6"/>
  <c r="I45"/>
  <c r="I44"/>
  <c r="H46" i="3"/>
  <c r="H47"/>
  <c r="H48"/>
  <c r="H45"/>
  <c r="O45"/>
  <c r="P45"/>
  <c r="Q45"/>
  <c r="R45"/>
  <c r="S45"/>
  <c r="T45"/>
  <c r="U45"/>
  <c r="W45"/>
  <c r="O46"/>
  <c r="P46"/>
  <c r="Q46"/>
  <c r="R46"/>
  <c r="S46"/>
  <c r="T46"/>
  <c r="U46"/>
  <c r="V46"/>
  <c r="W46"/>
  <c r="O47"/>
  <c r="P47"/>
  <c r="Q47"/>
  <c r="R47"/>
  <c r="S47"/>
  <c r="T47"/>
  <c r="U47"/>
  <c r="W47"/>
  <c r="O48"/>
  <c r="P48"/>
  <c r="Q48"/>
  <c r="R48"/>
  <c r="S48"/>
  <c r="T48"/>
  <c r="U48"/>
  <c r="W48"/>
  <c r="N48"/>
  <c r="N47"/>
  <c r="J48"/>
  <c r="J47"/>
  <c r="J18" i="4"/>
  <c r="J17"/>
  <c r="N45" i="3"/>
  <c r="R43" i="6"/>
  <c r="S43"/>
  <c r="T43"/>
  <c r="W43"/>
  <c r="X43"/>
  <c r="S44"/>
  <c r="W44"/>
  <c r="X44"/>
  <c r="R45"/>
  <c r="S45"/>
  <c r="T45"/>
  <c r="U45"/>
  <c r="V45"/>
  <c r="W45"/>
  <c r="X45"/>
  <c r="Q43"/>
  <c r="Q44"/>
  <c r="Q45"/>
  <c r="P16" i="4"/>
  <c r="Q16"/>
  <c r="R16"/>
  <c r="S16"/>
  <c r="T16"/>
  <c r="U16"/>
  <c r="V16"/>
  <c r="W16"/>
  <c r="P17"/>
  <c r="Q17"/>
  <c r="R17"/>
  <c r="S17"/>
  <c r="T17"/>
  <c r="U17"/>
  <c r="V17"/>
  <c r="W17"/>
  <c r="P18"/>
  <c r="Q18"/>
  <c r="R18"/>
  <c r="S18"/>
  <c r="T18"/>
  <c r="U18"/>
  <c r="V18"/>
  <c r="W18"/>
  <c r="O18"/>
  <c r="O17"/>
  <c r="N46" i="3"/>
  <c r="O27" i="7"/>
  <c r="N27"/>
  <c r="M27"/>
  <c r="L27"/>
  <c r="K27"/>
  <c r="J27"/>
  <c r="J33" s="1"/>
  <c r="I27"/>
  <c r="H27"/>
  <c r="G27"/>
  <c r="O28"/>
  <c r="N28"/>
  <c r="M28"/>
  <c r="L28"/>
  <c r="K28"/>
  <c r="J28"/>
  <c r="I28"/>
  <c r="H28"/>
  <c r="G28"/>
  <c r="F27"/>
  <c r="O26"/>
  <c r="N26"/>
  <c r="M26"/>
  <c r="L26"/>
  <c r="K26"/>
  <c r="J26"/>
  <c r="I26"/>
  <c r="H26"/>
  <c r="G26"/>
  <c r="F26"/>
  <c r="F28"/>
  <c r="O17"/>
  <c r="L17"/>
  <c r="K17"/>
  <c r="J17"/>
  <c r="I17"/>
  <c r="H17"/>
  <c r="G17"/>
  <c r="O16"/>
  <c r="L16"/>
  <c r="K16"/>
  <c r="J16"/>
  <c r="I16"/>
  <c r="H16"/>
  <c r="G16"/>
  <c r="O15"/>
  <c r="N15"/>
  <c r="M15"/>
  <c r="L15"/>
  <c r="K15"/>
  <c r="J15"/>
  <c r="I15"/>
  <c r="H15"/>
  <c r="G15"/>
  <c r="F17"/>
  <c r="F16"/>
  <c r="F15"/>
  <c r="C16"/>
  <c r="O14"/>
  <c r="L14"/>
  <c r="K14"/>
  <c r="J14"/>
  <c r="I14"/>
  <c r="H14"/>
  <c r="G14"/>
  <c r="F14"/>
  <c r="B17"/>
  <c r="B16"/>
  <c r="B15"/>
  <c r="K45" i="6"/>
  <c r="K44"/>
  <c r="K43"/>
  <c r="J16" i="4"/>
  <c r="P44" i="6"/>
  <c r="I31" i="7"/>
  <c r="K30"/>
  <c r="L30"/>
  <c r="M30"/>
  <c r="N30"/>
  <c r="O30"/>
  <c r="K29"/>
  <c r="L29"/>
  <c r="M29"/>
  <c r="N29"/>
  <c r="O29"/>
  <c r="I29"/>
  <c r="H31"/>
  <c r="H29"/>
  <c r="G30"/>
  <c r="F31"/>
  <c r="F30"/>
  <c r="F29"/>
  <c r="C31"/>
  <c r="C30"/>
  <c r="C29"/>
  <c r="B31"/>
  <c r="B30"/>
  <c r="C28"/>
  <c r="B28"/>
  <c r="B27"/>
  <c r="C27"/>
  <c r="C26"/>
  <c r="G29"/>
  <c r="G31"/>
  <c r="P43" i="6"/>
  <c r="P45"/>
  <c r="O16" i="4"/>
  <c r="H18"/>
  <c r="H17"/>
  <c r="H16"/>
  <c r="K17"/>
  <c r="E27" i="7"/>
  <c r="E31"/>
  <c r="E29"/>
  <c r="E30"/>
  <c r="K47" i="3"/>
  <c r="E16" i="7"/>
  <c r="M17"/>
  <c r="M16"/>
  <c r="M14"/>
  <c r="K18" i="4"/>
  <c r="K16"/>
  <c r="E28" i="7"/>
  <c r="E26"/>
  <c r="B26"/>
  <c r="V45" i="3"/>
  <c r="V47"/>
  <c r="N16" i="7"/>
  <c r="N14"/>
  <c r="V48" i="3"/>
  <c r="N17" i="7"/>
  <c r="O34" l="1"/>
  <c r="E18"/>
  <c r="Y7" i="5"/>
  <c r="K33" i="7"/>
  <c r="Z56" i="5"/>
  <c r="AA56" s="1"/>
  <c r="N24" i="7"/>
  <c r="K32"/>
  <c r="O48"/>
  <c r="M32"/>
  <c r="I32"/>
  <c r="E21"/>
  <c r="Q21" s="1"/>
  <c r="Y56" i="5"/>
  <c r="B18" i="7"/>
  <c r="B45" s="1"/>
  <c r="L75" i="5"/>
  <c r="G25" i="7"/>
  <c r="G22"/>
  <c r="O22"/>
  <c r="H23"/>
  <c r="H36" s="1"/>
  <c r="H25"/>
  <c r="O23"/>
  <c r="O36" s="1"/>
  <c r="L24"/>
  <c r="B25"/>
  <c r="G24"/>
  <c r="I25"/>
  <c r="G45"/>
  <c r="J25"/>
  <c r="Z43" i="6"/>
  <c r="O45" i="7"/>
  <c r="M22"/>
  <c r="F33"/>
  <c r="L34"/>
  <c r="C32"/>
  <c r="N33"/>
  <c r="G34"/>
  <c r="K9" i="5"/>
  <c r="AB9" s="1"/>
  <c r="L48" i="7"/>
  <c r="N34"/>
  <c r="Z45" i="6"/>
  <c r="K25" i="7"/>
  <c r="M33"/>
  <c r="J22"/>
  <c r="J45"/>
  <c r="J23"/>
  <c r="J36" s="1"/>
  <c r="J41" s="1"/>
  <c r="N47"/>
  <c r="M34"/>
  <c r="C24"/>
  <c r="O33"/>
  <c r="K34"/>
  <c r="Y7" i="3"/>
  <c r="Z7" s="1"/>
  <c r="M24" i="7"/>
  <c r="E48"/>
  <c r="F32"/>
  <c r="N23"/>
  <c r="N36" s="1"/>
  <c r="N41" s="1"/>
  <c r="G47"/>
  <c r="M47"/>
  <c r="L47"/>
  <c r="X7" i="3"/>
  <c r="L47"/>
  <c r="AA47" s="1"/>
  <c r="B24" i="7"/>
  <c r="K22"/>
  <c r="B23"/>
  <c r="B36" s="1"/>
  <c r="B41" s="1"/>
  <c r="Y48" i="3"/>
  <c r="O24" i="7"/>
  <c r="I24"/>
  <c r="F25"/>
  <c r="Y47" i="3"/>
  <c r="H24" i="7"/>
  <c r="Q31"/>
  <c r="H44"/>
  <c r="G23"/>
  <c r="G36" s="1"/>
  <c r="G41" s="1"/>
  <c r="B48"/>
  <c r="K45"/>
  <c r="F44"/>
  <c r="L72" i="5"/>
  <c r="Y27" i="3"/>
  <c r="B47" i="7"/>
  <c r="L33"/>
  <c r="C34"/>
  <c r="Y28" i="3"/>
  <c r="B34" i="7"/>
  <c r="E19"/>
  <c r="Q20"/>
  <c r="I18"/>
  <c r="I22" s="1"/>
  <c r="L17" i="4"/>
  <c r="Q16" i="7"/>
  <c r="N32"/>
  <c r="L44"/>
  <c r="K47"/>
  <c r="Y44" i="6"/>
  <c r="R72" i="5"/>
  <c r="N45" i="7"/>
  <c r="I19"/>
  <c r="I23" s="1"/>
  <c r="I48"/>
  <c r="L28" i="3"/>
  <c r="L45" s="1"/>
  <c r="C48" i="7"/>
  <c r="H32"/>
  <c r="J44"/>
  <c r="H34"/>
  <c r="L73" i="5"/>
  <c r="H45" i="7"/>
  <c r="R73" i="5"/>
  <c r="M45" i="7"/>
  <c r="M25"/>
  <c r="D30"/>
  <c r="P30" s="1"/>
  <c r="AB6" i="5"/>
  <c r="K45" i="3"/>
  <c r="X45" s="1"/>
  <c r="D26" i="7"/>
  <c r="P26" s="1"/>
  <c r="Q30"/>
  <c r="N48"/>
  <c r="F34"/>
  <c r="G44"/>
  <c r="E17"/>
  <c r="Q17" s="1"/>
  <c r="Z6" i="5"/>
  <c r="AA6" s="1"/>
  <c r="Y3" i="3"/>
  <c r="Z3" s="1"/>
  <c r="M44" i="6"/>
  <c r="AB44" s="1"/>
  <c r="D31" i="7"/>
  <c r="P31" s="1"/>
  <c r="J32"/>
  <c r="K44"/>
  <c r="C25"/>
  <c r="E24"/>
  <c r="E47"/>
  <c r="E15"/>
  <c r="Q15" s="1"/>
  <c r="D27"/>
  <c r="P27" s="1"/>
  <c r="Y45" i="6"/>
  <c r="M23" i="7"/>
  <c r="M36" s="1"/>
  <c r="Q26"/>
  <c r="I33"/>
  <c r="Y43" i="6"/>
  <c r="X48" i="3"/>
  <c r="X47"/>
  <c r="F45" i="7"/>
  <c r="L22"/>
  <c r="L25"/>
  <c r="J4" i="3"/>
  <c r="N22" i="7"/>
  <c r="Z44" i="6"/>
  <c r="X4" i="3"/>
  <c r="Y25"/>
  <c r="H47" i="7"/>
  <c r="J24"/>
  <c r="K46" i="3"/>
  <c r="X46" s="1"/>
  <c r="B32" i="7"/>
  <c r="Q29"/>
  <c r="L23"/>
  <c r="L36" s="1"/>
  <c r="K24"/>
  <c r="K37" s="1"/>
  <c r="K42" s="1"/>
  <c r="E33"/>
  <c r="C33"/>
  <c r="X3" i="3"/>
  <c r="Y6" i="5"/>
  <c r="L16" i="4"/>
  <c r="D16" i="7"/>
  <c r="P16" s="1"/>
  <c r="H48"/>
  <c r="B14"/>
  <c r="F23"/>
  <c r="F36" s="1"/>
  <c r="F41" s="1"/>
  <c r="G48"/>
  <c r="O47"/>
  <c r="E14"/>
  <c r="H22"/>
  <c r="O32"/>
  <c r="F48"/>
  <c r="M48"/>
  <c r="F47"/>
  <c r="D19"/>
  <c r="M73" i="5"/>
  <c r="D18" i="7"/>
  <c r="L46" i="3"/>
  <c r="AA3"/>
  <c r="D15" i="7"/>
  <c r="N44"/>
  <c r="L32"/>
  <c r="B33"/>
  <c r="I34"/>
  <c r="G32"/>
  <c r="J47"/>
  <c r="Z7" i="5"/>
  <c r="AA7" s="1"/>
  <c r="E32" i="7"/>
  <c r="D28"/>
  <c r="O25"/>
  <c r="O38" s="1"/>
  <c r="O43" s="1"/>
  <c r="M44"/>
  <c r="F24"/>
  <c r="N25"/>
  <c r="L18" i="4"/>
  <c r="J34" i="7"/>
  <c r="M43" i="6"/>
  <c r="AB43" s="1"/>
  <c r="AB7" i="5"/>
  <c r="E34" i="7"/>
  <c r="K23"/>
  <c r="D29"/>
  <c r="D20"/>
  <c r="P20" s="1"/>
  <c r="Q28"/>
  <c r="G33"/>
  <c r="M45" i="6"/>
  <c r="AB45" s="1"/>
  <c r="C47" i="7"/>
  <c r="L45"/>
  <c r="I47"/>
  <c r="M74" i="5"/>
  <c r="H33" i="7"/>
  <c r="K48"/>
  <c r="I44"/>
  <c r="M75" i="5"/>
  <c r="O44" i="7"/>
  <c r="F22"/>
  <c r="Q27"/>
  <c r="D21"/>
  <c r="K72" i="5" l="1"/>
  <c r="E22" i="7"/>
  <c r="Q22" s="1"/>
  <c r="N37"/>
  <c r="N42" s="1"/>
  <c r="O35"/>
  <c r="M37"/>
  <c r="M42" s="1"/>
  <c r="N49"/>
  <c r="N38"/>
  <c r="N43" s="1"/>
  <c r="H41"/>
  <c r="G38"/>
  <c r="G43" s="1"/>
  <c r="K49"/>
  <c r="M49"/>
  <c r="F37"/>
  <c r="F42" s="1"/>
  <c r="I35"/>
  <c r="L37"/>
  <c r="L42" s="1"/>
  <c r="L38"/>
  <c r="L43" s="1"/>
  <c r="K38"/>
  <c r="K43" s="1"/>
  <c r="M38"/>
  <c r="M43" s="1"/>
  <c r="E45"/>
  <c r="Q18"/>
  <c r="O41"/>
  <c r="H38"/>
  <c r="H43" s="1"/>
  <c r="G37"/>
  <c r="G42" s="1"/>
  <c r="B38"/>
  <c r="B43" s="1"/>
  <c r="I38"/>
  <c r="I43" s="1"/>
  <c r="D14"/>
  <c r="D22" s="1"/>
  <c r="J38"/>
  <c r="J43" s="1"/>
  <c r="M72" i="5"/>
  <c r="Z9"/>
  <c r="AA9" s="1"/>
  <c r="D17" i="7"/>
  <c r="P17" s="1"/>
  <c r="L48" i="3"/>
  <c r="AA48" s="1"/>
  <c r="M35" i="7"/>
  <c r="J35"/>
  <c r="K73" i="5"/>
  <c r="C19" i="7"/>
  <c r="C18"/>
  <c r="P18" s="1"/>
  <c r="J46"/>
  <c r="C49"/>
  <c r="L49"/>
  <c r="O37"/>
  <c r="O42" s="1"/>
  <c r="H37"/>
  <c r="H42" s="1"/>
  <c r="K35"/>
  <c r="C37"/>
  <c r="C42" s="1"/>
  <c r="B49"/>
  <c r="C38"/>
  <c r="C43" s="1"/>
  <c r="F49"/>
  <c r="L41"/>
  <c r="I37"/>
  <c r="I42" s="1"/>
  <c r="Q14"/>
  <c r="G46"/>
  <c r="H46"/>
  <c r="N35"/>
  <c r="M46"/>
  <c r="I36"/>
  <c r="I41" s="1"/>
  <c r="I46"/>
  <c r="O46"/>
  <c r="Q19"/>
  <c r="H35"/>
  <c r="I45"/>
  <c r="M41"/>
  <c r="D32"/>
  <c r="P32" s="1"/>
  <c r="E37"/>
  <c r="AA4" i="3"/>
  <c r="C14" i="7"/>
  <c r="J45" i="3"/>
  <c r="Y45" s="1"/>
  <c r="J46"/>
  <c r="AA46" s="1"/>
  <c r="C15" i="7"/>
  <c r="J37"/>
  <c r="J42" s="1"/>
  <c r="O49"/>
  <c r="D34"/>
  <c r="P34" s="1"/>
  <c r="F38"/>
  <c r="F43" s="1"/>
  <c r="E25"/>
  <c r="Q25" s="1"/>
  <c r="Y4" i="3"/>
  <c r="Z4" s="1"/>
  <c r="B44" i="7"/>
  <c r="B22"/>
  <c r="L46"/>
  <c r="D33"/>
  <c r="P33" s="1"/>
  <c r="D47"/>
  <c r="P28"/>
  <c r="E23"/>
  <c r="Q23" s="1"/>
  <c r="E44"/>
  <c r="Q34"/>
  <c r="J49"/>
  <c r="D45"/>
  <c r="L35"/>
  <c r="H49"/>
  <c r="B37"/>
  <c r="P21"/>
  <c r="D24"/>
  <c r="I49"/>
  <c r="D48"/>
  <c r="P29"/>
  <c r="G49"/>
  <c r="F46"/>
  <c r="F35"/>
  <c r="K36"/>
  <c r="K46"/>
  <c r="E49"/>
  <c r="Q32"/>
  <c r="Q33"/>
  <c r="D23"/>
  <c r="N46"/>
  <c r="G35"/>
  <c r="Q24"/>
  <c r="E35" l="1"/>
  <c r="Q35" s="1"/>
  <c r="N40"/>
  <c r="M40"/>
  <c r="L40"/>
  <c r="G40"/>
  <c r="P14"/>
  <c r="D25"/>
  <c r="D38" s="1"/>
  <c r="D44"/>
  <c r="C45"/>
  <c r="C23"/>
  <c r="C36" s="1"/>
  <c r="C41" s="1"/>
  <c r="P19"/>
  <c r="O40"/>
  <c r="H40"/>
  <c r="K40"/>
  <c r="Y46" i="3"/>
  <c r="AA45"/>
  <c r="Q37" i="7"/>
  <c r="E38"/>
  <c r="E43" s="1"/>
  <c r="E42"/>
  <c r="P15"/>
  <c r="E36"/>
  <c r="E41" s="1"/>
  <c r="I40"/>
  <c r="F40"/>
  <c r="B46"/>
  <c r="B35"/>
  <c r="B40" s="1"/>
  <c r="J40"/>
  <c r="E46"/>
  <c r="D49"/>
  <c r="C22"/>
  <c r="P22" s="1"/>
  <c r="C44"/>
  <c r="K41"/>
  <c r="B42"/>
  <c r="D36"/>
  <c r="D37"/>
  <c r="P24"/>
  <c r="D35"/>
  <c r="P25" l="1"/>
  <c r="D46"/>
  <c r="P23"/>
  <c r="Q38"/>
  <c r="P36"/>
  <c r="E40"/>
  <c r="Q36"/>
  <c r="C35"/>
  <c r="C40" s="1"/>
  <c r="C46"/>
  <c r="D41"/>
  <c r="P37"/>
  <c r="D42"/>
  <c r="D43"/>
  <c r="P38"/>
  <c r="D40"/>
  <c r="P35" l="1"/>
</calcChain>
</file>

<file path=xl/sharedStrings.xml><?xml version="1.0" encoding="utf-8"?>
<sst xmlns="http://schemas.openxmlformats.org/spreadsheetml/2006/main" count="1242" uniqueCount="653">
  <si>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</si>
  <si>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</si>
  <si>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</si>
  <si>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</si>
  <si>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</si>
  <si>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</si>
  <si>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</si>
  <si>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</si>
  <si>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</si>
  <si>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</si>
  <si>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</si>
  <si>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</si>
  <si>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</si>
  <si>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</si>
  <si>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</si>
  <si>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</si>
  <si>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</si>
  <si>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</si>
  <si>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</si>
  <si>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</si>
  <si>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</si>
  <si>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</si>
  <si>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</si>
  <si>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</si>
  <si>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</si>
  <si>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</si>
  <si>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</si>
  <si>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</si>
  <si>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</si>
  <si>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</si>
  <si>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</si>
  <si>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</si>
  <si>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</si>
  <si>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</si>
  <si>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</si>
  <si>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</si>
  <si>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</si>
  <si>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</si>
  <si>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</si>
  <si>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</si>
  <si>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</si>
  <si>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</si>
  <si>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</si>
  <si>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</si>
  <si>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</si>
  <si>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</si>
  <si>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</si>
  <si>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</si>
  <si>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</si>
  <si>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</si>
  <si>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</si>
  <si>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</si>
  <si>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</si>
  <si>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</si>
  <si>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</si>
  <si>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</si>
  <si>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</si>
  <si>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</si>
  <si>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</si>
  <si>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</si>
  <si>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</si>
  <si>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</si>
  <si>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</si>
  <si>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</si>
  <si>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</si>
  <si>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</si>
  <si>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</si>
  <si>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</si>
  <si>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</si>
  <si>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</si>
  <si>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</si>
  <si>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</si>
  <si>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</si>
  <si>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</si>
  <si>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</si>
  <si>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</si>
  <si>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</si>
  <si>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</si>
  <si>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</si>
  <si>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</si>
  <si>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</si>
  <si>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</si>
  <si>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</si>
  <si>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</si>
  <si>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</si>
  <si>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</si>
  <si>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</si>
  <si>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</si>
  <si>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</si>
  <si>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</si>
  <si>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</si>
  <si>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</si>
  <si>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</si>
  <si>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</si>
  <si>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</si>
  <si>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</si>
  <si>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</si>
  <si>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</si>
  <si>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</si>
  <si>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</si>
  <si>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</si>
  <si>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</si>
  <si>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</si>
  <si>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</si>
  <si>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</si>
  <si>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</si>
  <si>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</si>
  <si>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</si>
  <si>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</si>
  <si>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</si>
  <si>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</si>
  <si>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</si>
  <si>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</si>
  <si>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</si>
  <si>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</si>
  <si>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</si>
  <si>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</si>
  <si>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</si>
  <si>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</si>
  <si>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</si>
  <si>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</si>
  <si>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</si>
  <si>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</si>
  <si>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</si>
  <si>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</si>
  <si>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</si>
  <si>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</si>
  <si>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</si>
  <si>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</si>
  <si>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</si>
  <si>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</si>
  <si>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</si>
  <si>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</si>
  <si>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</si>
  <si>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</si>
  <si>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</si>
  <si>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</si>
  <si>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</si>
  <si>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</si>
  <si>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</si>
  <si>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</si>
  <si>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</si>
  <si>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</si>
  <si>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</si>
  <si>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</si>
  <si>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</si>
  <si>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</si>
  <si>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</si>
  <si>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</si>
  <si>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</si>
  <si>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</si>
  <si>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</si>
  <si>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</si>
  <si>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</si>
  <si>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</si>
  <si>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</si>
  <si>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</si>
  <si>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</si>
  <si>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</si>
  <si>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</si>
  <si>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</si>
  <si>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</si>
  <si>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</si>
  <si>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</si>
  <si>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</si>
  <si>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</si>
  <si>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</si>
  <si>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</si>
  <si>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</si>
  <si>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</si>
  <si>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</si>
  <si>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</si>
  <si>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</si>
  <si>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</si>
  <si>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</si>
  <si>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</si>
  <si>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</si>
  <si>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</si>
  <si>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</si>
  <si>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</si>
  <si>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</si>
  <si>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</si>
  <si>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</si>
  <si>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</si>
  <si>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</si>
  <si>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</si>
  <si>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</si>
  <si>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</si>
  <si>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</si>
  <si>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</si>
  <si>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</si>
  <si>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</si>
  <si>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</si>
  <si>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</si>
  <si>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</si>
  <si>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</si>
  <si>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</si>
  <si>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</si>
  <si>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</si>
  <si>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</si>
  <si>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</si>
  <si>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</si>
  <si>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</si>
  <si>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</si>
  <si>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</si>
  <si>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</si>
  <si>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</si>
  <si>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</si>
  <si>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</si>
  <si>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</si>
  <si>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</si>
  <si>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</si>
  <si>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</si>
  <si>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</si>
  <si>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</si>
  <si>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</si>
  <si>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</si>
  <si>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</si>
  <si>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</si>
  <si>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</si>
  <si>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</si>
  <si>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</si>
  <si>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</si>
  <si>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</si>
  <si>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</si>
  <si>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</si>
  <si>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</si>
  <si>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</si>
  <si>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</si>
  <si>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</si>
  <si>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</si>
  <si>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</si>
  <si>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</si>
  <si>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</si>
  <si>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</si>
  <si>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</si>
  <si>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</si>
  <si>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</si>
  <si>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</si>
  <si>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</si>
  <si>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</si>
  <si>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</si>
  <si>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</si>
  <si>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</si>
  <si>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</si>
  <si>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</si>
  <si>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</si>
  <si>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</si>
  <si>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</si>
  <si>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</si>
  <si>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</si>
  <si>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</si>
  <si>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</si>
  <si>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</si>
  <si>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</si>
  <si>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</si>
  <si>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</si>
  <si>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</si>
  <si>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</si>
  <si>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</si>
  <si>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</si>
  <si>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</si>
  <si>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</si>
  <si>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</si>
  <si>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</si>
  <si>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</si>
  <si>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</si>
  <si>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</si>
  <si>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</si>
  <si>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</si>
  <si>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</si>
  <si>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</si>
  <si>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</si>
  <si>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</si>
  <si>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</si>
  <si>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</si>
  <si>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</si>
  <si>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</si>
  <si>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</si>
  <si>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</si>
  <si>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</si>
  <si>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</si>
  <si>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</si>
  <si>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</si>
  <si>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</si>
  <si>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</si>
  <si>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</si>
  <si>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</si>
  <si>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</si>
  <si>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</si>
  <si>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</si>
  <si>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</si>
  <si>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</si>
  <si>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</si>
  <si>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</si>
  <si>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</si>
  <si>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</si>
  <si>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</si>
  <si>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</si>
  <si>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MIASTO SIEMIANOWICE ŚLĄSKIE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</si>
  <si>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</si>
  <si>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</si>
  <si>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</si>
  <si>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</si>
  <si>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</si>
  <si>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</si>
  <si>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</si>
  <si>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</si>
  <si>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</si>
  <si>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</si>
  <si>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</si>
  <si>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</si>
  <si>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</si>
  <si>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</si>
  <si>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</si>
  <si>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</si>
  <si>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</si>
  <si>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</si>
  <si>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</si>
  <si>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</si>
  <si>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</si>
  <si>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</si>
  <si>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</si>
  <si>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</si>
  <si>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</si>
  <si>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</si>
  <si>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</si>
  <si>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</si>
  <si>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sierpień 2023-listopad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</si>
  <si>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</si>
  <si>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</si>
  <si>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</si>
  <si>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</si>
  <si>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</si>
  <si>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</si>
  <si>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</si>
  <si>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</si>
  <si>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</si>
  <si>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</si>
  <si>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</si>
  <si>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</si>
  <si>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</si>
  <si>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</si>
  <si>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</si>
  <si>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</si>
  <si>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</si>
  <si>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</si>
  <si>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</si>
  <si>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</si>
  <si>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</si>
  <si>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</si>
  <si>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</si>
  <si>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</si>
  <si>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</si>
  <si>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</si>
  <si>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</si>
  <si>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</si>
  <si>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</si>
  <si>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</si>
  <si>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</si>
  <si>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</si>
  <si>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</si>
  <si>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</si>
  <si>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</si>
  <si>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</si>
  <si>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</si>
  <si>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</si>
  <si>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</si>
  <si>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</si>
  <si>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</si>
  <si>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</si>
  <si>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</si>
  <si>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</si>
  <si>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</si>
  <si>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</si>
  <si>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</si>
  <si>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</si>
  <si>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</si>
  <si>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</si>
  <si>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</si>
  <si>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</si>
  <si>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</si>
  <si>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</si>
  <si>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</si>
  <si>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</si>
  <si>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</si>
  <si>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</si>
  <si>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</si>
  <si>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</si>
  <si>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</si>
  <si>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</si>
  <si>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</si>
  <si>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</si>
  <si>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</si>
  <si>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</si>
  <si>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</si>
  <si>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</si>
  <si>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</si>
  <si>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</si>
  <si>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</si>
  <si>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</si>
  <si>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</si>
  <si>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</si>
  <si>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</si>
  <si>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</si>
  <si>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</si>
  <si>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</si>
  <si>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</si>
  <si>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</si>
  <si>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</si>
  <si>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</si>
  <si>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</si>
  <si>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</si>
  <si>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</si>
  <si>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</si>
  <si>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</si>
  <si>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</si>
  <si>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</si>
  <si>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</si>
  <si>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</si>
  <si>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</si>
  <si>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</si>
  <si>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</si>
  <si>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</si>
  <si>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</si>
  <si>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</si>
  <si>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</si>
  <si>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</si>
  <si>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</si>
  <si>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</si>
  <si>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</si>
  <si>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</si>
  <si>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</si>
  <si>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</si>
  <si>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</si>
  <si>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</si>
  <si>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</si>
  <si>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</si>
  <si>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</si>
  <si>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</si>
  <si>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</si>
  <si>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</si>
  <si>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</si>
  <si>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</si>
  <si>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</si>
  <si>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</si>
  <si>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</si>
  <si>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</si>
  <si>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</si>
  <si>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</si>
  <si>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</si>
  <si>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</si>
  <si>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</si>
  <si>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</si>
  <si>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</si>
  <si>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</si>
  <si>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</si>
  <si>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</si>
  <si>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</si>
  <si>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</si>
  <si>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</si>
  <si>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</si>
  <si>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</si>
  <si>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</si>
  <si>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</si>
  <si>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</si>
  <si>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</si>
  <si>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BOJSZOWY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</si>
  <si>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</si>
  <si>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</si>
  <si>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</si>
  <si>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</si>
  <si>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</si>
  <si>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</si>
  <si>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</si>
  <si>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</si>
  <si>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</si>
  <si>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</si>
  <si>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</si>
  <si>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</si>
  <si>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</si>
  <si>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</si>
  <si>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</si>
  <si>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</si>
  <si>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</si>
  <si>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</si>
  <si>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</si>
  <si>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</si>
  <si>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</si>
  <si>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</si>
  <si>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</si>
  <si>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</si>
  <si>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</si>
  <si>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</si>
  <si>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</si>
  <si>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</si>
  <si>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</si>
  <si>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</si>
  <si>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</si>
  <si>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</si>
  <si>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</si>
  <si>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</si>
  <si>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</si>
  <si>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</si>
  <si>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</si>
  <si>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</si>
  <si>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</si>
  <si>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</si>
  <si>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</si>
  <si>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</si>
  <si>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</si>
  <si>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</si>
  <si>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</si>
  <si>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</si>
  <si>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</si>
  <si>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</si>
  <si>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</si>
  <si>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</si>
  <si>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</si>
  <si>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</si>
  <si>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</si>
  <si>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</si>
  <si>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</si>
  <si>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</si>
  <si>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</si>
  <si>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</si>
  <si>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</si>
  <si>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</si>
  <si>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</si>
  <si>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</si>
  <si>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</si>
  <si>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</si>
  <si>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</si>
  <si>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</si>
  <si>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</si>
  <si>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</si>
  <si>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</si>
  <si>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</si>
  <si>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</si>
  <si>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</si>
  <si>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</si>
  <si>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</si>
  <si>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</si>
  <si>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</si>
  <si>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</si>
  <si>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</si>
  <si>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</si>
  <si>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</si>
  <si>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</si>
  <si>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</si>
  <si>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</si>
  <si>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</si>
  <si>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</si>
  <si>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</si>
  <si>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</si>
  <si>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</si>
  <si>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</si>
  <si>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</si>
  <si>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</si>
  <si>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</si>
  <si>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</si>
  <si>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</si>
  <si>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</si>
  <si>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</si>
  <si>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</si>
  <si>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</si>
  <si>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</si>
  <si>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</si>
  <si>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2023-październik 2023</t>
  </si>
  <si>
    <t>lipiec  2023-listopad 2024</t>
  </si>
  <si>
    <t>kwiecień 2023-grudzień 2024</t>
  </si>
  <si>
    <t>styczeń 2023-lipiec 2024</t>
  </si>
  <si>
    <t>sierpień 2023-czerwiec 2025</t>
  </si>
  <si>
    <t>marzec 2023-listopad 2025</t>
  </si>
  <si>
    <t>maj 2023-grudzień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</si>
  <si>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</si>
  <si>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</si>
  <si>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</si>
  <si>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</si>
  <si>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</si>
  <si>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</si>
  <si>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</si>
  <si>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</si>
  <si>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</si>
  <si>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</si>
  <si>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</si>
  <si>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</si>
  <si>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</si>
  <si>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</si>
  <si>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</si>
  <si>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</si>
  <si>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</si>
  <si>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</si>
  <si>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</si>
  <si>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</si>
  <si>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</si>
  <si>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</si>
  <si>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</si>
  <si>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</si>
  <si>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</si>
  <si>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</si>
  <si>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</si>
  <si>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</si>
  <si>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</si>
  <si>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</si>
  <si>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</si>
  <si>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</si>
  <si>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</si>
  <si>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</si>
  <si>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</si>
  <si>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33**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</si>
  <si>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</si>
  <si>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</si>
  <si>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</si>
  <si>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</si>
  <si>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</si>
  <si>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</si>
  <si>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</si>
  <si>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</si>
  <si>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</si>
  <si>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</si>
  <si>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</si>
  <si>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</si>
  <si>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</si>
  <si>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</si>
  <si>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</si>
  <si>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</si>
  <si>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</si>
  <si>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</si>
  <si>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</si>
  <si>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</si>
  <si>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</si>
  <si>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</si>
  <si>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</si>
  <si>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</si>
  <si>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</si>
  <si>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</si>
  <si>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</si>
  <si>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>42*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</si>
  <si>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</si>
  <si>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</si>
  <si>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</si>
  <si>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</si>
  <si>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</si>
  <si>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listopad 2023-grudzień 2024</t>
  </si>
  <si>
    <t>listopad 2023-pazdziernik 2024</t>
  </si>
  <si>
    <t>grudzień 2023-czerwiec 2024</t>
  </si>
  <si>
    <t>grudzień 2023-luty 2025</t>
  </si>
  <si>
    <t>wrzesień 2021 - listopad 2023</t>
  </si>
  <si>
    <t>GMINA GOLESZÓW (rezygnacja wnioskodawcy z realizacji zadania)</t>
  </si>
  <si>
    <t>69*</t>
  </si>
  <si>
    <t>ZATWIERDZAM
Dorota Wójtowicz
z up. WOJEWODY ŚLĄSKIEGO
-podpisano elektronicznie-
Katowice, 6 października 2023 r.</t>
  </si>
  <si>
    <t>Lista zmieniona nr 8 zadań rekomendowanych do dofinansowania w ramach Rządowego Funduszu Rozwoju Dróg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</si>
</sst>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5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" fontId="2" fillId="7" borderId="0" xfId="0" applyNumberFormat="1" applyFont="1" applyFill="1"/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65" fontId="7" fillId="0" borderId="2" xfId="0" applyNumberFormat="1" applyFont="1" applyFill="1" applyBorder="1" applyAlignment="1">
      <alignment vertical="center"/>
    </xf>
  </cellXfs>
  <cellStyles count="14">
    <cellStyle name="Dziesiętny" xfId="1" builtinId="3"/>
    <cellStyle name="Dziesiętny 2" xfId="2"/>
    <cellStyle name="Dziesiętny 2 2" xfId="3"/>
    <cellStyle name="Dziesiętny 2 3" xfId="4"/>
    <cellStyle name="Dziesiętny 3" xfId="5"/>
    <cellStyle name="Dziesiętny 4" xfId="6"/>
    <cellStyle name="Normalny" xfId="0" builtinId="0"/>
    <cellStyle name="Normalny 2" xfId="7"/>
    <cellStyle name="Normalny 2 2" xfId="8"/>
    <cellStyle name="Normalny 3" xfId="9"/>
    <cellStyle name="Normalny 4" xfId="10"/>
    <cellStyle name="Normalny 5" xfId="11"/>
    <cellStyle name="Normalny 6" xfId="13"/>
    <cellStyle name="Procentowy 2" xfId="1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9"/>
  <sheetViews>
    <sheetView tabSelected="1" view="pageBreakPreview" topLeftCell="I7" zoomScaleNormal="100" zoomScaleSheetLayoutView="100" workbookViewId="0">
      <selection activeCell="C19" sqref="C19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264" customFormat="1" ht="30" customHeight="1" thickBot="1">
      <c r="A1" s="300" t="s">
        <v>652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10"/>
      <c r="D2" s="410"/>
      <c r="E2" s="411"/>
      <c r="F2" s="386" t="s">
        <v>651</v>
      </c>
      <c r="G2" s="387"/>
      <c r="H2" s="387"/>
      <c r="I2" s="387"/>
      <c r="J2" s="387"/>
      <c r="K2" s="387"/>
      <c r="L2" s="387"/>
      <c r="M2" s="387"/>
      <c r="N2" s="388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08"/>
      <c r="E3" s="409"/>
      <c r="F3" s="389"/>
      <c r="G3" s="390"/>
      <c r="H3" s="390"/>
      <c r="I3" s="390"/>
      <c r="J3" s="390"/>
      <c r="K3" s="390"/>
      <c r="L3" s="390"/>
      <c r="M3" s="390"/>
      <c r="N3" s="391"/>
      <c r="O3" s="270"/>
      <c r="P3" s="270"/>
      <c r="Q3" s="270"/>
      <c r="X3" s="267"/>
    </row>
    <row r="4" spans="1:24" s="268" customFormat="1">
      <c r="A4" s="352" t="s">
        <v>575</v>
      </c>
      <c r="B4" s="353"/>
      <c r="C4" s="273"/>
      <c r="D4" s="277"/>
      <c r="E4" s="276"/>
      <c r="F4" s="389"/>
      <c r="G4" s="390"/>
      <c r="H4" s="390"/>
      <c r="I4" s="390"/>
      <c r="J4" s="390"/>
      <c r="K4" s="390"/>
      <c r="L4" s="390"/>
      <c r="M4" s="390"/>
      <c r="N4" s="391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389"/>
      <c r="G5" s="390"/>
      <c r="H5" s="390"/>
      <c r="I5" s="390"/>
      <c r="J5" s="390"/>
      <c r="K5" s="390"/>
      <c r="L5" s="390"/>
      <c r="M5" s="390"/>
      <c r="N5" s="391"/>
      <c r="O5" s="270"/>
      <c r="P5" s="270"/>
      <c r="Q5" s="270"/>
      <c r="X5" s="267"/>
    </row>
    <row r="6" spans="1:24" s="268" customFormat="1">
      <c r="A6" s="352" t="s">
        <v>576</v>
      </c>
      <c r="B6" s="353"/>
      <c r="C6" s="275"/>
      <c r="D6" s="273"/>
      <c r="E6" s="276"/>
      <c r="F6" s="389"/>
      <c r="G6" s="390"/>
      <c r="H6" s="390"/>
      <c r="I6" s="390"/>
      <c r="J6" s="390"/>
      <c r="K6" s="390"/>
      <c r="L6" s="390"/>
      <c r="M6" s="390"/>
      <c r="N6" s="391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392"/>
      <c r="G7" s="393"/>
      <c r="H7" s="393"/>
      <c r="I7" s="393"/>
      <c r="J7" s="393"/>
      <c r="K7" s="393"/>
      <c r="L7" s="393"/>
      <c r="M7" s="393"/>
      <c r="N7" s="394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277"/>
      <c r="G9" s="273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277"/>
      <c r="G10" s="276"/>
      <c r="H10" s="273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279"/>
      <c r="G11" s="279"/>
      <c r="H11" s="279"/>
      <c r="I11" s="279"/>
      <c r="J11" s="278"/>
      <c r="K11" s="278"/>
      <c r="L11" s="278"/>
      <c r="M11" s="278"/>
      <c r="N11" s="278"/>
      <c r="O11" s="278"/>
      <c r="P11" s="270"/>
      <c r="Q11" s="270"/>
      <c r="X11" s="267"/>
    </row>
    <row r="12" spans="1:24" ht="20.100000000000001" customHeight="1">
      <c r="A12" s="395" t="s">
        <v>1</v>
      </c>
      <c r="B12" s="397" t="s">
        <v>31</v>
      </c>
      <c r="C12" s="399" t="s">
        <v>18</v>
      </c>
      <c r="D12" s="401" t="s">
        <v>19</v>
      </c>
      <c r="E12" s="403" t="s">
        <v>20</v>
      </c>
      <c r="F12" s="405" t="s">
        <v>12</v>
      </c>
      <c r="G12" s="406"/>
      <c r="H12" s="406"/>
      <c r="I12" s="406"/>
      <c r="J12" s="406"/>
      <c r="K12" s="406"/>
      <c r="L12" s="406"/>
      <c r="M12" s="406"/>
      <c r="N12" s="406"/>
      <c r="O12" s="407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6"/>
      <c r="B13" s="398"/>
      <c r="C13" s="400"/>
      <c r="D13" s="402"/>
      <c r="E13" s="404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306632971.01999998</v>
      </c>
      <c r="D14" s="41">
        <f>SUM('pow podst'!L3:L44)</f>
        <v>157250687.72999999</v>
      </c>
      <c r="E14" s="42">
        <f>SUM('pow podst'!K3:K44)</f>
        <v>149382283.29000002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69007832.780000001</v>
      </c>
      <c r="K14" s="40">
        <f>SUM('pow podst'!S3:S44)</f>
        <v>31290055.289999999</v>
      </c>
      <c r="L14" s="40">
        <f>SUM('pow podst'!T3:T44)</f>
        <v>6029909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49862510.100000001</v>
      </c>
      <c r="D16" s="75">
        <f>SUMIF('pow podst'!C3:C44,"N",'pow podst'!L3:L44)</f>
        <v>24697697.239999998</v>
      </c>
      <c r="E16" s="24">
        <f>SUMIF('pow podst'!C3:C44,"N",'pow podst'!K3:K44)</f>
        <v>25164812.859999999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25164812.859999999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118057070.47</v>
      </c>
      <c r="D17" s="77">
        <f>SUMIF('pow podst'!C3:C44,"W",'pow podst'!L3:L44)</f>
        <v>64207760.960000001</v>
      </c>
      <c r="E17" s="48">
        <f>SUMIF('pow podst'!C3:C44,"W",'pow podst'!K3:K44)</f>
        <v>53849309.510000005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28344451.020000003</v>
      </c>
      <c r="L17" s="76">
        <f>SUMIF('pow podst'!$C$3:$C$44,"W",'pow podst'!T3:T44)</f>
        <v>6029909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podst'!L3:L71)</f>
        <v>57</v>
      </c>
      <c r="C18" s="40">
        <f>SUM('gm podst'!K3:K71)</f>
        <v>318863573.32999998</v>
      </c>
      <c r="D18" s="41">
        <f>SUM('gm podst'!M3:M71)</f>
        <v>173285420.27000001</v>
      </c>
      <c r="E18" s="42">
        <f>SUM('gm podst'!L3:L71)</f>
        <v>145578153.06</v>
      </c>
      <c r="F18" s="84">
        <f>SUM('gm podst'!O3:O71)</f>
        <v>0</v>
      </c>
      <c r="G18" s="84">
        <f>SUM('gm podst'!P3:P71)</f>
        <v>0</v>
      </c>
      <c r="H18" s="84">
        <f>SUM('gm podst'!Q3:Q71)</f>
        <v>9360007.4000000004</v>
      </c>
      <c r="I18" s="84">
        <f>SUM('gm podst'!R3:R71)</f>
        <v>19662608.82</v>
      </c>
      <c r="J18" s="84">
        <f>SUM('gm podst'!S3:S71)</f>
        <v>70058642.74000001</v>
      </c>
      <c r="K18" s="84">
        <f>SUM('gm podst'!T3:T71)</f>
        <v>26641757.620000001</v>
      </c>
      <c r="L18" s="84">
        <f>SUM('gm podst'!U3:U71)</f>
        <v>10120578</v>
      </c>
      <c r="M18" s="84">
        <f>SUM('gm podst'!V3:V71)</f>
        <v>5827281.9800000004</v>
      </c>
      <c r="N18" s="84">
        <f>SUM('gm podst'!W3:W71)</f>
        <v>2193001</v>
      </c>
      <c r="O18" s="84">
        <f>SUM('gm podst'!X3:X71)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podst'!C3:C71,"K")</f>
        <v>22</v>
      </c>
      <c r="C19" s="72">
        <f>SUMIF('gm podst'!C3:C71,"K",'gm podst'!K3:K71)</f>
        <v>132218971.00999999</v>
      </c>
      <c r="D19" s="73">
        <f>SUMIF('gm podst'!C3:C71,"K",'gm podst'!M3:M71)</f>
        <v>72932277.940000013</v>
      </c>
      <c r="E19" s="25">
        <f>SUMIF('gm podst'!C3:C71,"K",'gm podst'!L3:L71)</f>
        <v>59286693.07</v>
      </c>
      <c r="F19" s="78">
        <f>SUMIF('gm podst'!$C$3:$C$71,"K",'gm podst'!O3:O71)</f>
        <v>0</v>
      </c>
      <c r="G19" s="78">
        <f>SUMIF('gm podst'!$C$3:$C$71,"K",'gm podst'!P3:P71)</f>
        <v>0</v>
      </c>
      <c r="H19" s="78">
        <f>SUMIF('gm podst'!$C$3:$C$71,"K",'gm podst'!Q3:Q71)</f>
        <v>9360007.4000000004</v>
      </c>
      <c r="I19" s="78">
        <f>SUMIF('gm podst'!$C$3:$C$71,"K",'gm podst'!R3:R71)</f>
        <v>19662608.82</v>
      </c>
      <c r="J19" s="78">
        <f>SUMIF('gm podst'!$C$3:$C$71,"K",'gm podst'!S3:S71)</f>
        <v>24459871.849999998</v>
      </c>
      <c r="K19" s="78">
        <f>SUMIF('gm podst'!$C$3:$C$71,"K",'gm podst'!T3:T71)</f>
        <v>3765099.5</v>
      </c>
      <c r="L19" s="78">
        <f>SUMIF('gm podst'!$C$3:$C$71,"K",'gm podst'!U3:U71)</f>
        <v>1011161.5</v>
      </c>
      <c r="M19" s="78">
        <f>SUMIF('gm podst'!$C$3:$C$71,"K",'gm podst'!V3:V71)</f>
        <v>1027944</v>
      </c>
      <c r="N19" s="78">
        <f>SUMIF('gm podst'!$C$3:$C$71,"K",'gm podst'!W3:W71)</f>
        <v>0</v>
      </c>
      <c r="O19" s="78">
        <f>SUMIF('gm podst'!$C$3:$C$71,"K",'gm podst'!X3:X71)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podst'!C3:C71,"N")</f>
        <v>19</v>
      </c>
      <c r="C20" s="74">
        <f>SUMIF('gm podst'!C3:C71,"N",'gm podst'!K3:K71)</f>
        <v>74706764.400000006</v>
      </c>
      <c r="D20" s="75">
        <f>SUMIF('gm podst'!C3:C71,"N",'gm podst'!M3:M71)</f>
        <v>40140708.509999998</v>
      </c>
      <c r="E20" s="24">
        <f>SUMIF('gm podst'!C3:C71,"N",'gm podst'!L3:L71)</f>
        <v>34566055.890000001</v>
      </c>
      <c r="F20" s="80">
        <f>SUMIF('gm podst'!$C$3:$C$71,"N",'gm podst'!O3:O71)</f>
        <v>0</v>
      </c>
      <c r="G20" s="80">
        <f>SUMIF('gm podst'!$C$3:$C$71,"N",'gm podst'!P3:P71)</f>
        <v>0</v>
      </c>
      <c r="H20" s="80">
        <f>SUMIF('gm podst'!$C$3:$C$71,"N",'gm podst'!Q3:Q71)</f>
        <v>0</v>
      </c>
      <c r="I20" s="80">
        <f>SUMIF('gm podst'!$C$3:$C$71,"N",'gm podst'!R3:R71)</f>
        <v>0</v>
      </c>
      <c r="J20" s="80">
        <f>SUMIF('gm podst'!$C$3:$C$71,"N",'gm podst'!S3:S71)</f>
        <v>34566055.890000001</v>
      </c>
      <c r="K20" s="80">
        <f>SUMIF('gm podst'!$C$3:$C$71,"N",'gm podst'!T3:T71)</f>
        <v>0</v>
      </c>
      <c r="L20" s="80">
        <f>SUMIF('gm podst'!$C$3:$C$71,"N",'gm podst'!U3:U71)</f>
        <v>0</v>
      </c>
      <c r="M20" s="80">
        <f>SUMIF('gm podst'!$C$3:$C$71,"N",'gm podst'!V3:V71)</f>
        <v>0</v>
      </c>
      <c r="N20" s="80">
        <f>SUMIF('gm podst'!$C$3:$C$71,"N",'gm podst'!W3:W71)</f>
        <v>0</v>
      </c>
      <c r="O20" s="80">
        <f>SUMIF('gm podst'!$C$3:$C$71,"N",'gm podst'!X3:X71)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podst'!C3:C71,"W")</f>
        <v>16</v>
      </c>
      <c r="C21" s="76">
        <f>SUMIF('gm podst'!C3:C71,"W",'gm podst'!K3:K71)</f>
        <v>111937837.91999999</v>
      </c>
      <c r="D21" s="77">
        <f>SUMIF('gm podst'!C3:C71,"W",'gm podst'!M3:M71)</f>
        <v>60212433.82</v>
      </c>
      <c r="E21" s="48">
        <f>SUMIF('gm podst'!C3:C71,"W",'gm podst'!L3:L71)</f>
        <v>51725404.100000001</v>
      </c>
      <c r="F21" s="82">
        <f>SUMIF('gm podst'!$C$3:$C$71,"W",'gm podst'!O3:O71)</f>
        <v>0</v>
      </c>
      <c r="G21" s="82">
        <f>SUMIF('gm podst'!$C$3:$C$71,"W",'gm podst'!P3:P71)</f>
        <v>0</v>
      </c>
      <c r="H21" s="82">
        <f>SUMIF('gm podst'!$C$3:$C$71,"W",'gm podst'!Q3:Q71)</f>
        <v>0</v>
      </c>
      <c r="I21" s="82">
        <f>SUMIF('gm podst'!$C$3:$C$71,"W",'gm podst'!R3:R71)</f>
        <v>0</v>
      </c>
      <c r="J21" s="82">
        <f>SUMIF('gm podst'!$C$3:$C$71,"W",'gm podst'!S3:S71)</f>
        <v>11032715</v>
      </c>
      <c r="K21" s="82">
        <f>SUMIF('gm podst'!$C$3:$C$71,"W",'gm podst'!T3:T71)</f>
        <v>22876658.120000001</v>
      </c>
      <c r="L21" s="82">
        <f>SUMIF('gm podst'!$C$3:$C$71,"W",'gm podst'!U3:U71)</f>
        <v>9109416.5</v>
      </c>
      <c r="M21" s="82">
        <f>SUMIF('gm podst'!$C$3:$C$71,"W",'gm podst'!V3:V71)</f>
        <v>4799337.9800000004</v>
      </c>
      <c r="N21" s="82">
        <f>SUMIF('gm podst'!$C$3:$C$71,"W",'gm podst'!W3:W71)</f>
        <v>2193001</v>
      </c>
      <c r="O21" s="82">
        <f>SUMIF('gm podst'!$C$3:$C$71,"W",'gm podst'!X3:X71)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88</v>
      </c>
      <c r="C22" s="196">
        <f>C14+C18</f>
        <v>625496544.3499999</v>
      </c>
      <c r="D22" s="197">
        <f t="shared" ref="C22:O24" si="2">D14+D18</f>
        <v>330536108</v>
      </c>
      <c r="E22" s="198">
        <f t="shared" si="2"/>
        <v>294960436.35000002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139066475.52000001</v>
      </c>
      <c r="K22" s="196">
        <f t="shared" si="2"/>
        <v>57931812.909999996</v>
      </c>
      <c r="L22" s="196">
        <f t="shared" si="2"/>
        <v>16150487</v>
      </c>
      <c r="M22" s="196">
        <f t="shared" si="2"/>
        <v>5827281.9800000004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30</v>
      </c>
      <c r="C24" s="28">
        <f t="shared" si="2"/>
        <v>124569274.5</v>
      </c>
      <c r="D24" s="30">
        <f t="shared" si="2"/>
        <v>64838405.75</v>
      </c>
      <c r="E24" s="24">
        <f t="shared" si="2"/>
        <v>59730868.75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59730868.75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23</v>
      </c>
      <c r="C25" s="54">
        <f t="shared" ref="C25:O25" si="3">C17+C21</f>
        <v>229994908.38999999</v>
      </c>
      <c r="D25" s="55">
        <f t="shared" si="3"/>
        <v>124420194.78</v>
      </c>
      <c r="E25" s="48">
        <f t="shared" si="3"/>
        <v>105574713.61000001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30507664.490000002</v>
      </c>
      <c r="K25" s="54">
        <f t="shared" si="3"/>
        <v>51221109.140000001</v>
      </c>
      <c r="L25" s="54">
        <f t="shared" si="3"/>
        <v>15139325.5</v>
      </c>
      <c r="M25" s="54">
        <f t="shared" si="3"/>
        <v>4799337.9800000004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27</v>
      </c>
      <c r="C29" s="40">
        <f>SUM('gm rez'!K3:K42)</f>
        <v>61388558</v>
      </c>
      <c r="D29" s="41">
        <f>SUM('gm rez'!M3:M42)</f>
        <v>30493334.550000001</v>
      </c>
      <c r="E29" s="42">
        <f>SUM('gm rez'!L3:L42)</f>
        <v>30895223.449999999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19743523.449999999</v>
      </c>
      <c r="K29" s="40">
        <f>SUM('gm rez'!T3:T42)</f>
        <v>8632107.5</v>
      </c>
      <c r="L29" s="40">
        <f>SUM('gm rez'!U3:U42)</f>
        <v>2519592.5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18</v>
      </c>
      <c r="C30" s="74">
        <f>SUMIF('gm rez'!C3:C42,"N",'gm rez'!K3:K42)</f>
        <v>27375071</v>
      </c>
      <c r="D30" s="75">
        <f>SUMIF('gm rez'!C3:C42,"N",'gm rez'!M3:M42)</f>
        <v>13486591.050000001</v>
      </c>
      <c r="E30" s="24">
        <f>SUMIF('gm rez'!C3:C42,"N",'gm rez'!L3:L42)</f>
        <v>13888479.949999999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440">
        <v>13888479.949999999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9</v>
      </c>
      <c r="C31" s="76">
        <f>SUMIF('gm rez'!C3:C42,"W",'gm rez'!K3:K42)</f>
        <v>34013487</v>
      </c>
      <c r="D31" s="77">
        <f>SUMIF('gm rez'!C3:C42,"W",'gm rez'!M3:M42)</f>
        <v>17006743.5</v>
      </c>
      <c r="E31" s="48">
        <f>SUMIF('gm rez'!C3:C42,"W",'gm rez'!L3:L42)</f>
        <v>17006743.5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5855043.5</v>
      </c>
      <c r="K31" s="76">
        <f>SUMIF('gm rez'!C3:C42,"W",'gm rez'!T3:T42)</f>
        <v>8632107.5</v>
      </c>
      <c r="L31" s="76">
        <f>SUMIF('gm rez'!C3:C42,"W",'gm rez'!U3:U42)</f>
        <v>2519592.5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27</v>
      </c>
      <c r="C32" s="58">
        <f t="shared" ref="C32:O32" si="6">C26+C29</f>
        <v>61388558</v>
      </c>
      <c r="D32" s="59">
        <f t="shared" si="6"/>
        <v>30493334.550000001</v>
      </c>
      <c r="E32" s="38">
        <f t="shared" si="6"/>
        <v>30895223.449999999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19743523.449999999</v>
      </c>
      <c r="K32" s="58">
        <f t="shared" si="6"/>
        <v>8632107.5</v>
      </c>
      <c r="L32" s="58">
        <f t="shared" si="6"/>
        <v>2519592.5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18</v>
      </c>
      <c r="C33" s="27">
        <f t="shared" si="7"/>
        <v>27375071</v>
      </c>
      <c r="D33" s="31">
        <f t="shared" si="7"/>
        <v>13486591.050000001</v>
      </c>
      <c r="E33" s="24">
        <f t="shared" si="7"/>
        <v>13888479.949999999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13888479.949999999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9</v>
      </c>
      <c r="C34" s="61">
        <f t="shared" si="8"/>
        <v>34013487</v>
      </c>
      <c r="D34" s="62">
        <f t="shared" si="8"/>
        <v>17006743.5</v>
      </c>
      <c r="E34" s="63">
        <f t="shared" si="8"/>
        <v>17006743.5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5855043.5</v>
      </c>
      <c r="K34" s="61">
        <f t="shared" si="8"/>
        <v>8632107.5</v>
      </c>
      <c r="L34" s="61">
        <f t="shared" si="8"/>
        <v>2519592.5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115</v>
      </c>
      <c r="C35" s="66">
        <f t="shared" ref="C35:O35" si="9">C22+C32</f>
        <v>686885102.3499999</v>
      </c>
      <c r="D35" s="67">
        <f t="shared" si="9"/>
        <v>361029442.55000001</v>
      </c>
      <c r="E35" s="98">
        <f t="shared" si="9"/>
        <v>325855659.80000001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158809998.97</v>
      </c>
      <c r="K35" s="66">
        <f t="shared" si="9"/>
        <v>66563920.409999996</v>
      </c>
      <c r="L35" s="66">
        <f t="shared" si="9"/>
        <v>18670079.5</v>
      </c>
      <c r="M35" s="66">
        <f t="shared" si="9"/>
        <v>5827281.9800000004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48</v>
      </c>
      <c r="C37" s="101">
        <f t="shared" ref="C37:O38" si="11">C24+C33</f>
        <v>151944345.5</v>
      </c>
      <c r="D37" s="101">
        <f t="shared" si="11"/>
        <v>78324996.799999997</v>
      </c>
      <c r="E37" s="101">
        <f t="shared" si="11"/>
        <v>73619348.700000003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73619348.700000003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32</v>
      </c>
      <c r="C38" s="71">
        <f t="shared" si="11"/>
        <v>264008395.38999999</v>
      </c>
      <c r="D38" s="71">
        <f t="shared" si="11"/>
        <v>141426938.28</v>
      </c>
      <c r="E38" s="71">
        <f t="shared" si="11"/>
        <v>122581457.11000001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36362707.990000002</v>
      </c>
      <c r="K38" s="71">
        <f t="shared" si="11"/>
        <v>59853216.640000001</v>
      </c>
      <c r="L38" s="71">
        <f t="shared" si="11"/>
        <v>17658918</v>
      </c>
      <c r="M38" s="71">
        <f t="shared" si="11"/>
        <v>4799337.9800000004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0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1:BV58"/>
  <sheetViews>
    <sheetView showGridLines="0" view="pageBreakPreview" topLeftCell="A41" zoomScaleNormal="78" zoomScaleSheetLayoutView="100" workbookViewId="0">
      <selection activeCell="J25" sqref="J25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12" t="s">
        <v>4</v>
      </c>
      <c r="B1" s="412" t="s">
        <v>5</v>
      </c>
      <c r="C1" s="413" t="s">
        <v>40</v>
      </c>
      <c r="D1" s="416" t="s">
        <v>6</v>
      </c>
      <c r="E1" s="416" t="s">
        <v>30</v>
      </c>
      <c r="F1" s="416" t="s">
        <v>7</v>
      </c>
      <c r="G1" s="412" t="s">
        <v>24</v>
      </c>
      <c r="H1" s="412" t="s">
        <v>8</v>
      </c>
      <c r="I1" s="412" t="s">
        <v>21</v>
      </c>
      <c r="J1" s="412" t="s">
        <v>9</v>
      </c>
      <c r="K1" s="412" t="s">
        <v>16</v>
      </c>
      <c r="L1" s="416" t="s">
        <v>13</v>
      </c>
      <c r="M1" s="412" t="s">
        <v>11</v>
      </c>
      <c r="N1" s="412" t="s">
        <v>12</v>
      </c>
      <c r="O1" s="412"/>
      <c r="P1" s="412"/>
      <c r="Q1" s="412"/>
      <c r="R1" s="412"/>
      <c r="S1" s="412"/>
      <c r="T1" s="412"/>
      <c r="U1" s="412"/>
      <c r="V1" s="412"/>
      <c r="W1" s="412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12"/>
      <c r="B2" s="412"/>
      <c r="C2" s="414"/>
      <c r="D2" s="417"/>
      <c r="E2" s="417"/>
      <c r="F2" s="417"/>
      <c r="G2" s="412"/>
      <c r="H2" s="412"/>
      <c r="I2" s="412"/>
      <c r="J2" s="412"/>
      <c r="K2" s="412"/>
      <c r="L2" s="417"/>
      <c r="M2" s="412"/>
      <c r="N2" s="382">
        <v>2019</v>
      </c>
      <c r="O2" s="382">
        <v>2020</v>
      </c>
      <c r="P2" s="382">
        <v>2021</v>
      </c>
      <c r="Q2" s="382">
        <v>2022</v>
      </c>
      <c r="R2" s="382">
        <v>2023</v>
      </c>
      <c r="S2" s="382">
        <v>2024</v>
      </c>
      <c r="T2" s="382">
        <v>2025</v>
      </c>
      <c r="U2" s="382">
        <v>2026</v>
      </c>
      <c r="V2" s="382">
        <v>2027</v>
      </c>
      <c r="W2" s="383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597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119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143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648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118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119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593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146</v>
      </c>
      <c r="C9" s="205" t="s">
        <v>42</v>
      </c>
      <c r="D9" s="218" t="s">
        <v>119</v>
      </c>
      <c r="E9" s="206">
        <v>2402</v>
      </c>
      <c r="F9" s="339" t="s">
        <v>148</v>
      </c>
      <c r="G9" s="205" t="s">
        <v>44</v>
      </c>
      <c r="H9" s="221">
        <v>0.49199999999999999</v>
      </c>
      <c r="I9" s="215" t="s">
        <v>149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150</v>
      </c>
      <c r="C10" s="205" t="s">
        <v>42</v>
      </c>
      <c r="D10" s="218" t="s">
        <v>151</v>
      </c>
      <c r="E10" s="206">
        <v>2411</v>
      </c>
      <c r="F10" s="339" t="s">
        <v>152</v>
      </c>
      <c r="G10" s="205" t="s">
        <v>44</v>
      </c>
      <c r="H10" s="221">
        <v>7.6</v>
      </c>
      <c r="I10" s="215" t="s">
        <v>153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154</v>
      </c>
      <c r="C11" s="205" t="s">
        <v>42</v>
      </c>
      <c r="D11" s="218" t="s">
        <v>155</v>
      </c>
      <c r="E11" s="206">
        <v>2470</v>
      </c>
      <c r="F11" s="339" t="s">
        <v>156</v>
      </c>
      <c r="G11" s="205" t="s">
        <v>157</v>
      </c>
      <c r="H11" s="221">
        <v>1.577</v>
      </c>
      <c r="I11" s="215" t="s">
        <v>158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159</v>
      </c>
      <c r="C12" s="205" t="s">
        <v>42</v>
      </c>
      <c r="D12" s="218" t="s">
        <v>160</v>
      </c>
      <c r="E12" s="206">
        <v>2465</v>
      </c>
      <c r="F12" s="339" t="s">
        <v>161</v>
      </c>
      <c r="G12" s="205" t="s">
        <v>44</v>
      </c>
      <c r="H12" s="221">
        <v>2.2490000000000001</v>
      </c>
      <c r="I12" s="215" t="s">
        <v>162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163</v>
      </c>
      <c r="C13" s="205"/>
      <c r="D13" s="218" t="s">
        <v>583</v>
      </c>
      <c r="E13" s="206">
        <v>2416</v>
      </c>
      <c r="F13" s="339" t="s">
        <v>164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165</v>
      </c>
      <c r="C14" s="205" t="s">
        <v>42</v>
      </c>
      <c r="D14" s="218" t="s">
        <v>166</v>
      </c>
      <c r="E14" s="206">
        <v>2415</v>
      </c>
      <c r="F14" s="339" t="s">
        <v>167</v>
      </c>
      <c r="G14" s="205" t="s">
        <v>44</v>
      </c>
      <c r="H14" s="221">
        <v>2.097</v>
      </c>
      <c r="I14" s="215" t="s">
        <v>168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169</v>
      </c>
      <c r="C15" s="205" t="s">
        <v>42</v>
      </c>
      <c r="D15" s="218" t="s">
        <v>170</v>
      </c>
      <c r="E15" s="206">
        <v>2404</v>
      </c>
      <c r="F15" s="339" t="s">
        <v>171</v>
      </c>
      <c r="G15" s="205" t="s">
        <v>44</v>
      </c>
      <c r="H15" s="221">
        <v>2.2400000000000002</v>
      </c>
      <c r="I15" s="215" t="s">
        <v>172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173</v>
      </c>
      <c r="C16" s="205" t="s">
        <v>42</v>
      </c>
      <c r="D16" s="218" t="s">
        <v>174</v>
      </c>
      <c r="E16" s="206">
        <v>2411</v>
      </c>
      <c r="F16" s="339" t="s">
        <v>175</v>
      </c>
      <c r="G16" s="205" t="s">
        <v>44</v>
      </c>
      <c r="H16" s="221">
        <v>2.5459999999999998</v>
      </c>
      <c r="I16" s="215" t="s">
        <v>176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177</v>
      </c>
      <c r="C17" s="205"/>
      <c r="D17" s="218" t="s">
        <v>594</v>
      </c>
      <c r="E17" s="206">
        <v>2410</v>
      </c>
      <c r="F17" s="339" t="s">
        <v>178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253</v>
      </c>
      <c r="C18" s="205" t="s">
        <v>147</v>
      </c>
      <c r="D18" s="218" t="s">
        <v>242</v>
      </c>
      <c r="E18" s="206" t="s">
        <v>130</v>
      </c>
      <c r="F18" s="339" t="s">
        <v>270</v>
      </c>
      <c r="G18" s="205" t="s">
        <v>44</v>
      </c>
      <c r="H18" s="221">
        <v>1.778</v>
      </c>
      <c r="I18" s="215" t="s">
        <v>288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254</v>
      </c>
      <c r="C19" s="205" t="s">
        <v>147</v>
      </c>
      <c r="D19" s="218" t="s">
        <v>242</v>
      </c>
      <c r="E19" s="206" t="s">
        <v>130</v>
      </c>
      <c r="F19" s="339" t="s">
        <v>271</v>
      </c>
      <c r="G19" s="205" t="s">
        <v>44</v>
      </c>
      <c r="H19" s="221">
        <v>1.881</v>
      </c>
      <c r="I19" s="215" t="s">
        <v>289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255</v>
      </c>
      <c r="C20" s="205" t="s">
        <v>147</v>
      </c>
      <c r="D20" s="218" t="s">
        <v>243</v>
      </c>
      <c r="E20" s="206" t="s">
        <v>135</v>
      </c>
      <c r="F20" s="339" t="s">
        <v>272</v>
      </c>
      <c r="G20" s="205" t="s">
        <v>44</v>
      </c>
      <c r="H20" s="221">
        <v>1.7330000000000001</v>
      </c>
      <c r="I20" s="215" t="s">
        <v>290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85" customFormat="1" ht="22.5">
      <c r="A21" s="222">
        <v>19</v>
      </c>
      <c r="B21" s="222" t="s">
        <v>256</v>
      </c>
      <c r="C21" s="222" t="s">
        <v>287</v>
      </c>
      <c r="D21" s="233" t="s">
        <v>244</v>
      </c>
      <c r="E21" s="224">
        <v>2467</v>
      </c>
      <c r="F21" s="324" t="s">
        <v>273</v>
      </c>
      <c r="G21" s="222" t="s">
        <v>44</v>
      </c>
      <c r="H21" s="225">
        <v>1.0049999999999999</v>
      </c>
      <c r="I21" s="226" t="s">
        <v>295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257</v>
      </c>
      <c r="C22" s="205" t="s">
        <v>147</v>
      </c>
      <c r="D22" s="218" t="s">
        <v>245</v>
      </c>
      <c r="E22" s="206">
        <v>2468</v>
      </c>
      <c r="F22" s="339" t="s">
        <v>274</v>
      </c>
      <c r="G22" s="205" t="s">
        <v>44</v>
      </c>
      <c r="H22" s="221">
        <v>1.45</v>
      </c>
      <c r="I22" s="215" t="s">
        <v>292</v>
      </c>
      <c r="J22" s="340">
        <v>25123598</v>
      </c>
      <c r="K22" s="341">
        <v>12561799</v>
      </c>
      <c r="L22" s="341">
        <f t="shared" si="4"/>
        <v>12561799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0.5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258</v>
      </c>
      <c r="C23" s="205" t="s">
        <v>147</v>
      </c>
      <c r="D23" s="218" t="s">
        <v>246</v>
      </c>
      <c r="E23" s="206" t="s">
        <v>137</v>
      </c>
      <c r="F23" s="339" t="s">
        <v>275</v>
      </c>
      <c r="G23" s="205" t="s">
        <v>44</v>
      </c>
      <c r="H23" s="221">
        <v>2.7650000000000001</v>
      </c>
      <c r="I23" s="215" t="s">
        <v>293</v>
      </c>
      <c r="J23" s="340">
        <v>20152130</v>
      </c>
      <c r="K23" s="341">
        <v>10076065</v>
      </c>
      <c r="L23" s="341">
        <f>J23-K23</f>
        <v>10076065</v>
      </c>
      <c r="M23" s="211">
        <v>0.5</v>
      </c>
      <c r="N23" s="212"/>
      <c r="O23" s="212"/>
      <c r="P23" s="209"/>
      <c r="Q23" s="209"/>
      <c r="R23" s="209">
        <v>125000</v>
      </c>
      <c r="S23" s="209">
        <v>6000000</v>
      </c>
      <c r="T23" s="209">
        <v>3951065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85" customFormat="1" ht="33.75">
      <c r="A24" s="222">
        <v>22</v>
      </c>
      <c r="B24" s="222" t="s">
        <v>259</v>
      </c>
      <c r="C24" s="222" t="s">
        <v>287</v>
      </c>
      <c r="D24" s="233" t="s">
        <v>81</v>
      </c>
      <c r="E24" s="224" t="s">
        <v>136</v>
      </c>
      <c r="F24" s="324" t="s">
        <v>276</v>
      </c>
      <c r="G24" s="222" t="s">
        <v>44</v>
      </c>
      <c r="H24" s="225">
        <v>2.2930000000000001</v>
      </c>
      <c r="I24" s="226" t="s">
        <v>590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260</v>
      </c>
      <c r="C25" s="205"/>
      <c r="D25" s="218" t="s">
        <v>583</v>
      </c>
      <c r="E25" s="206" t="s">
        <v>139</v>
      </c>
      <c r="F25" s="339" t="s">
        <v>277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261</v>
      </c>
      <c r="C26" s="205"/>
      <c r="D26" s="218" t="s">
        <v>578</v>
      </c>
      <c r="E26" s="206" t="s">
        <v>132</v>
      </c>
      <c r="F26" s="339" t="s">
        <v>278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262</v>
      </c>
      <c r="C27" s="205"/>
      <c r="D27" s="218" t="s">
        <v>577</v>
      </c>
      <c r="E27" s="206">
        <v>2412</v>
      </c>
      <c r="F27" s="339" t="s">
        <v>279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263</v>
      </c>
      <c r="C28" s="205" t="s">
        <v>147</v>
      </c>
      <c r="D28" s="218" t="s">
        <v>248</v>
      </c>
      <c r="E28" s="206" t="s">
        <v>134</v>
      </c>
      <c r="F28" s="339" t="s">
        <v>280</v>
      </c>
      <c r="G28" s="205" t="s">
        <v>44</v>
      </c>
      <c r="H28" s="221">
        <v>0.59499999999999997</v>
      </c>
      <c r="I28" s="215" t="s">
        <v>582</v>
      </c>
      <c r="J28" s="340">
        <v>8114998.3799999999</v>
      </c>
      <c r="K28" s="341">
        <f>R28+S28</f>
        <v>3768438.5</v>
      </c>
      <c r="L28" s="341">
        <f t="shared" si="4"/>
        <v>4346559.88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0.46439999999999998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85" customFormat="1" ht="22.5">
      <c r="A29" s="222">
        <v>27</v>
      </c>
      <c r="B29" s="222" t="s">
        <v>264</v>
      </c>
      <c r="C29" s="222" t="s">
        <v>287</v>
      </c>
      <c r="D29" s="233" t="s">
        <v>249</v>
      </c>
      <c r="E29" s="224" t="s">
        <v>133</v>
      </c>
      <c r="F29" s="324" t="s">
        <v>281</v>
      </c>
      <c r="G29" s="222" t="s">
        <v>43</v>
      </c>
      <c r="H29" s="225">
        <v>0.54100000000000004</v>
      </c>
      <c r="I29" s="226" t="s">
        <v>294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5" customFormat="1" ht="45.75" customHeight="1">
      <c r="A30" s="222">
        <v>28</v>
      </c>
      <c r="B30" s="222" t="s">
        <v>265</v>
      </c>
      <c r="C30" s="222"/>
      <c r="D30" s="233" t="s">
        <v>585</v>
      </c>
      <c r="E30" s="224" t="s">
        <v>140</v>
      </c>
      <c r="F30" s="324" t="s">
        <v>282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5" customFormat="1" ht="22.5">
      <c r="A31" s="222">
        <v>29</v>
      </c>
      <c r="B31" s="222" t="s">
        <v>266</v>
      </c>
      <c r="C31" s="222" t="s">
        <v>287</v>
      </c>
      <c r="D31" s="233" t="s">
        <v>250</v>
      </c>
      <c r="E31" s="224">
        <v>2479</v>
      </c>
      <c r="F31" s="324" t="s">
        <v>283</v>
      </c>
      <c r="G31" s="222" t="s">
        <v>44</v>
      </c>
      <c r="H31" s="225">
        <v>0.94</v>
      </c>
      <c r="I31" s="226" t="s">
        <v>295</v>
      </c>
      <c r="J31" s="283">
        <v>5806720.6200000001</v>
      </c>
      <c r="K31" s="246">
        <v>2903360.31</v>
      </c>
      <c r="L31" s="363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267</v>
      </c>
      <c r="C32" s="222" t="s">
        <v>287</v>
      </c>
      <c r="D32" s="233" t="s">
        <v>251</v>
      </c>
      <c r="E32" s="224" t="s">
        <v>129</v>
      </c>
      <c r="F32" s="223" t="s">
        <v>284</v>
      </c>
      <c r="G32" s="222" t="s">
        <v>44</v>
      </c>
      <c r="H32" s="225">
        <v>0.29699999999999999</v>
      </c>
      <c r="I32" s="226" t="s">
        <v>581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268</v>
      </c>
      <c r="C33" s="222" t="s">
        <v>287</v>
      </c>
      <c r="D33" s="233" t="s">
        <v>251</v>
      </c>
      <c r="E33" s="224">
        <v>2401</v>
      </c>
      <c r="F33" s="223" t="s">
        <v>285</v>
      </c>
      <c r="G33" s="222" t="s">
        <v>44</v>
      </c>
      <c r="H33" s="225">
        <v>0.79</v>
      </c>
      <c r="I33" s="226" t="s">
        <v>581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269</v>
      </c>
      <c r="C34" s="222" t="s">
        <v>287</v>
      </c>
      <c r="D34" s="233" t="s">
        <v>252</v>
      </c>
      <c r="E34" s="224" t="s">
        <v>131</v>
      </c>
      <c r="F34" s="223" t="s">
        <v>286</v>
      </c>
      <c r="G34" s="222" t="s">
        <v>43</v>
      </c>
      <c r="H34" s="225">
        <v>0.98799999999999999</v>
      </c>
      <c r="I34" s="234" t="s">
        <v>434</v>
      </c>
      <c r="J34" s="283">
        <v>13499485</v>
      </c>
      <c r="K34" s="246">
        <v>7424716.7500000009</v>
      </c>
      <c r="L34" s="341">
        <v>6074768.2499999991</v>
      </c>
      <c r="M34" s="251">
        <v>0.55000000000000004</v>
      </c>
      <c r="N34" s="227"/>
      <c r="O34" s="227"/>
      <c r="P34" s="227"/>
      <c r="Q34" s="219"/>
      <c r="R34" s="219">
        <f>K34</f>
        <v>7424716.7500000009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610</v>
      </c>
      <c r="B35" s="205" t="s">
        <v>300</v>
      </c>
      <c r="C35" s="205" t="s">
        <v>147</v>
      </c>
      <c r="D35" s="218" t="s">
        <v>297</v>
      </c>
      <c r="E35" s="206">
        <v>2473</v>
      </c>
      <c r="F35" s="339" t="s">
        <v>312</v>
      </c>
      <c r="G35" s="205" t="s">
        <v>43</v>
      </c>
      <c r="H35" s="221">
        <v>0.871</v>
      </c>
      <c r="I35" s="215" t="s">
        <v>324</v>
      </c>
      <c r="J35" s="340">
        <v>16235781</v>
      </c>
      <c r="K35" s="340">
        <f>R35+S35</f>
        <v>3686534.5300000003</v>
      </c>
      <c r="L35" s="341">
        <f>J35-K35</f>
        <v>12549246.469999999</v>
      </c>
      <c r="M35" s="211">
        <v>0.5</v>
      </c>
      <c r="N35" s="212"/>
      <c r="O35" s="212"/>
      <c r="P35" s="209"/>
      <c r="Q35" s="209"/>
      <c r="R35" s="209">
        <v>2500000</v>
      </c>
      <c r="S35" s="209">
        <v>1186534.53</v>
      </c>
      <c r="T35" s="209"/>
      <c r="U35" s="209"/>
      <c r="V35" s="209"/>
      <c r="W35" s="209"/>
      <c r="X35" s="335" t="b">
        <v>1</v>
      </c>
      <c r="Y35" s="213">
        <f t="shared" si="6"/>
        <v>0.2271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85" customFormat="1" ht="33.75">
      <c r="A36" s="222">
        <v>34</v>
      </c>
      <c r="B36" s="222" t="s">
        <v>301</v>
      </c>
      <c r="C36" s="222" t="s">
        <v>287</v>
      </c>
      <c r="D36" s="233" t="s">
        <v>166</v>
      </c>
      <c r="E36" s="224" t="s">
        <v>138</v>
      </c>
      <c r="F36" s="324" t="s">
        <v>313</v>
      </c>
      <c r="G36" s="222" t="s">
        <v>44</v>
      </c>
      <c r="H36" s="225">
        <v>0.39200000000000002</v>
      </c>
      <c r="I36" s="226" t="s">
        <v>325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5" customFormat="1" ht="33.75">
      <c r="A37" s="222">
        <v>35</v>
      </c>
      <c r="B37" s="222" t="s">
        <v>302</v>
      </c>
      <c r="C37" s="222"/>
      <c r="D37" s="233" t="s">
        <v>621</v>
      </c>
      <c r="E37" s="224" t="s">
        <v>135</v>
      </c>
      <c r="F37" s="324" t="s">
        <v>314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142"/>
      <c r="AC37" s="320"/>
      <c r="AD37" s="321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5" customFormat="1" ht="33.75">
      <c r="A38" s="222">
        <v>36</v>
      </c>
      <c r="B38" s="222" t="s">
        <v>303</v>
      </c>
      <c r="C38" s="222"/>
      <c r="D38" s="233" t="s">
        <v>585</v>
      </c>
      <c r="E38" s="224" t="s">
        <v>140</v>
      </c>
      <c r="F38" s="324" t="s">
        <v>315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142"/>
      <c r="AC38" s="320"/>
      <c r="AD38" s="321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19" customFormat="1" ht="33.75">
      <c r="A39" s="205">
        <v>37</v>
      </c>
      <c r="B39" s="205" t="s">
        <v>304</v>
      </c>
      <c r="C39" s="205"/>
      <c r="D39" s="218" t="s">
        <v>631</v>
      </c>
      <c r="E39" s="206" t="s">
        <v>132</v>
      </c>
      <c r="F39" s="339" t="s">
        <v>316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16"/>
      <c r="AC39" s="317"/>
      <c r="AD39" s="318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</row>
    <row r="40" spans="1:74" s="319" customFormat="1" ht="33.75">
      <c r="A40" s="205">
        <v>38</v>
      </c>
      <c r="B40" s="205" t="s">
        <v>305</v>
      </c>
      <c r="C40" s="205"/>
      <c r="D40" s="218" t="s">
        <v>630</v>
      </c>
      <c r="E40" s="206">
        <v>2475</v>
      </c>
      <c r="F40" s="339" t="s">
        <v>317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16"/>
      <c r="AC40" s="317"/>
      <c r="AD40" s="318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</row>
    <row r="41" spans="1:74" s="165" customFormat="1" ht="33.75">
      <c r="A41" s="222">
        <v>39</v>
      </c>
      <c r="B41" s="222" t="s">
        <v>307</v>
      </c>
      <c r="C41" s="222"/>
      <c r="D41" s="233" t="s">
        <v>594</v>
      </c>
      <c r="E41" s="224" t="s">
        <v>136</v>
      </c>
      <c r="F41" s="223" t="s">
        <v>319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</row>
    <row r="42" spans="1:74" s="165" customFormat="1" ht="22.5">
      <c r="A42" s="222">
        <v>40</v>
      </c>
      <c r="B42" s="222" t="s">
        <v>308</v>
      </c>
      <c r="C42" s="222" t="s">
        <v>287</v>
      </c>
      <c r="D42" s="233" t="s">
        <v>247</v>
      </c>
      <c r="E42" s="224">
        <v>2412</v>
      </c>
      <c r="F42" s="223" t="s">
        <v>320</v>
      </c>
      <c r="G42" s="222" t="s">
        <v>44</v>
      </c>
      <c r="H42" s="225">
        <v>0.84</v>
      </c>
      <c r="I42" s="226" t="s">
        <v>327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315"/>
      <c r="BC42" s="315"/>
      <c r="BD42" s="315"/>
    </row>
    <row r="43" spans="1:74" s="97" customFormat="1" ht="35.25" customHeight="1">
      <c r="A43" s="222">
        <v>41</v>
      </c>
      <c r="B43" s="222" t="s">
        <v>309</v>
      </c>
      <c r="C43" s="232" t="s">
        <v>287</v>
      </c>
      <c r="D43" s="233" t="s">
        <v>249</v>
      </c>
      <c r="E43" s="230" t="s">
        <v>133</v>
      </c>
      <c r="F43" s="223" t="s">
        <v>321</v>
      </c>
      <c r="G43" s="222" t="s">
        <v>44</v>
      </c>
      <c r="H43" s="225">
        <v>1.35</v>
      </c>
      <c r="I43" s="234" t="s">
        <v>647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315"/>
      <c r="BC43" s="315"/>
      <c r="BD43" s="315"/>
    </row>
    <row r="44" spans="1:74" s="97" customFormat="1" ht="30.75" customHeight="1">
      <c r="A44" s="222" t="s">
        <v>638</v>
      </c>
      <c r="B44" s="222" t="s">
        <v>311</v>
      </c>
      <c r="C44" s="232" t="s">
        <v>287</v>
      </c>
      <c r="D44" s="233" t="s">
        <v>639</v>
      </c>
      <c r="E44" s="224">
        <v>2474</v>
      </c>
      <c r="F44" s="223" t="s">
        <v>323</v>
      </c>
      <c r="G44" s="222" t="s">
        <v>204</v>
      </c>
      <c r="H44" s="225">
        <v>0.55300000000000005</v>
      </c>
      <c r="I44" s="234" t="s">
        <v>646</v>
      </c>
      <c r="J44" s="283">
        <v>1421853</v>
      </c>
      <c r="K44" s="283">
        <v>137894.47</v>
      </c>
      <c r="L44" s="246">
        <f t="shared" si="11"/>
        <v>1283958.53</v>
      </c>
      <c r="M44" s="251">
        <v>0.5</v>
      </c>
      <c r="N44" s="227"/>
      <c r="O44" s="227"/>
      <c r="P44" s="227"/>
      <c r="Q44" s="219"/>
      <c r="R44" s="219">
        <v>137894.47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9.7000000000000003E-2</v>
      </c>
      <c r="Z44" s="337" t="b">
        <v>1</v>
      </c>
      <c r="AA44" s="337" t="b">
        <v>1</v>
      </c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</row>
    <row r="45" spans="1:74" s="138" customFormat="1" ht="20.100000000000001" customHeight="1">
      <c r="A45" s="421" t="s">
        <v>41</v>
      </c>
      <c r="B45" s="422"/>
      <c r="C45" s="422"/>
      <c r="D45" s="422"/>
      <c r="E45" s="422"/>
      <c r="F45" s="422"/>
      <c r="G45" s="423"/>
      <c r="H45" s="235">
        <f>SUM(H3:H44)</f>
        <v>52.645999999999994</v>
      </c>
      <c r="I45" s="382" t="s">
        <v>14</v>
      </c>
      <c r="J45" s="220">
        <f>SUM(J3:J44)</f>
        <v>306632971.01999998</v>
      </c>
      <c r="K45" s="220">
        <f>SUM(K3:K44)</f>
        <v>149382283.29000002</v>
      </c>
      <c r="L45" s="220">
        <f>SUM(L3:L44)</f>
        <v>157250687.72999999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69007832.780000001</v>
      </c>
      <c r="S45" s="220">
        <f t="shared" si="13"/>
        <v>31290055.289999999</v>
      </c>
      <c r="T45" s="220">
        <f t="shared" si="13"/>
        <v>6029909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0.48720000000000002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18" t="s">
        <v>34</v>
      </c>
      <c r="B46" s="419"/>
      <c r="C46" s="419"/>
      <c r="D46" s="419"/>
      <c r="E46" s="419"/>
      <c r="F46" s="419"/>
      <c r="G46" s="420"/>
      <c r="H46" s="238">
        <f>SUMIF($C$3:$C$44,"K",H3:H44)</f>
        <v>31.583999999999996</v>
      </c>
      <c r="I46" s="384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21" t="s">
        <v>35</v>
      </c>
      <c r="B47" s="422"/>
      <c r="C47" s="422"/>
      <c r="D47" s="422"/>
      <c r="E47" s="422"/>
      <c r="F47" s="422"/>
      <c r="G47" s="423"/>
      <c r="H47" s="235">
        <f>SUMIF($C$3:$C$44,"N",H3:H44)</f>
        <v>9.9890000000000008</v>
      </c>
      <c r="I47" s="382" t="s">
        <v>14</v>
      </c>
      <c r="J47" s="220">
        <f>SUMIF($C$3:$C$44,"N",J3:J44)</f>
        <v>49862510.100000001</v>
      </c>
      <c r="K47" s="220">
        <f>SUMIF($C$3:$C$44,"N",K3:K44)</f>
        <v>25164812.859999999</v>
      </c>
      <c r="L47" s="220">
        <f>SUMIF($C$3:$C$44,"N",L3:L44)</f>
        <v>24697697.239999998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25164812.859999999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0.50470000000000004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18" t="s">
        <v>36</v>
      </c>
      <c r="B48" s="419"/>
      <c r="C48" s="419"/>
      <c r="D48" s="419"/>
      <c r="E48" s="419"/>
      <c r="F48" s="419"/>
      <c r="G48" s="420"/>
      <c r="H48" s="238">
        <f>SUMIF($C$3:$C$44,"W",H3:H44)</f>
        <v>11.073</v>
      </c>
      <c r="I48" s="384" t="s">
        <v>14</v>
      </c>
      <c r="J48" s="210">
        <f>SUMIF($C$3:$C$44,"W",J3:J44)</f>
        <v>118057070.47</v>
      </c>
      <c r="K48" s="210">
        <f>SUMIF($C$3:$C$44,"W",K3:K44)</f>
        <v>53849309.510000005</v>
      </c>
      <c r="L48" s="210">
        <f>SUMIF($C$3:$C$44,"W",L3:L44)</f>
        <v>64207760.960000001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28344451.020000003</v>
      </c>
      <c r="T48" s="210">
        <f t="shared" si="16"/>
        <v>6029909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0.45610000000000001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85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85"/>
      <c r="E52" s="141"/>
      <c r="F52" s="142"/>
      <c r="G52" s="139"/>
      <c r="J52" s="91"/>
      <c r="K52" s="163"/>
    </row>
    <row r="53" spans="1:29">
      <c r="A53" s="415" t="s">
        <v>329</v>
      </c>
      <c r="B53" s="415"/>
      <c r="C53" s="415"/>
      <c r="D53" s="415"/>
      <c r="E53" s="415"/>
      <c r="F53" s="415"/>
      <c r="G53" s="139"/>
      <c r="J53" s="91"/>
    </row>
    <row r="54" spans="1:29">
      <c r="A54" s="415" t="s">
        <v>611</v>
      </c>
      <c r="B54" s="415"/>
      <c r="C54" s="415"/>
      <c r="D54" s="415"/>
      <c r="E54" s="415"/>
      <c r="F54" s="415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M1:M2"/>
    <mergeCell ref="N1:W1"/>
    <mergeCell ref="H1:H2"/>
    <mergeCell ref="I1:I2"/>
    <mergeCell ref="J1:J2"/>
    <mergeCell ref="K1:K2"/>
    <mergeCell ref="L1:L2"/>
    <mergeCell ref="A54:F54"/>
    <mergeCell ref="A48:G48"/>
    <mergeCell ref="A47:G47"/>
    <mergeCell ref="A46:G46"/>
    <mergeCell ref="A45:G45"/>
    <mergeCell ref="B1:B2"/>
    <mergeCell ref="C1:C2"/>
    <mergeCell ref="A53:F53"/>
    <mergeCell ref="F1:F2"/>
    <mergeCell ref="G1:G2"/>
    <mergeCell ref="D1:D2"/>
    <mergeCell ref="E1:E2"/>
    <mergeCell ref="A1:A2"/>
  </mergeCells>
  <conditionalFormatting sqref="Z3:AA8">
    <cfRule type="containsText" dxfId="12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DI1395"/>
  <sheetViews>
    <sheetView showGridLines="0" view="pageBreakPreview" topLeftCell="A64" zoomScaleSheetLayoutView="100" workbookViewId="0">
      <selection activeCell="C71" sqref="C71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12" t="s">
        <v>4</v>
      </c>
      <c r="B1" s="412" t="s">
        <v>5</v>
      </c>
      <c r="C1" s="413" t="s">
        <v>40</v>
      </c>
      <c r="D1" s="416" t="s">
        <v>6</v>
      </c>
      <c r="E1" s="412" t="s">
        <v>30</v>
      </c>
      <c r="F1" s="416" t="s">
        <v>15</v>
      </c>
      <c r="G1" s="412" t="s">
        <v>7</v>
      </c>
      <c r="H1" s="412" t="s">
        <v>24</v>
      </c>
      <c r="I1" s="412" t="s">
        <v>8</v>
      </c>
      <c r="J1" s="412" t="s">
        <v>25</v>
      </c>
      <c r="K1" s="412" t="s">
        <v>9</v>
      </c>
      <c r="L1" s="412" t="s">
        <v>17</v>
      </c>
      <c r="M1" s="416" t="s">
        <v>13</v>
      </c>
      <c r="N1" s="412" t="s">
        <v>11</v>
      </c>
      <c r="O1" s="412" t="s">
        <v>12</v>
      </c>
      <c r="P1" s="412"/>
      <c r="Q1" s="412"/>
      <c r="R1" s="412"/>
      <c r="S1" s="412"/>
      <c r="T1" s="412"/>
      <c r="U1" s="412"/>
      <c r="V1" s="412"/>
      <c r="W1" s="412"/>
      <c r="X1" s="412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12"/>
      <c r="B2" s="412"/>
      <c r="C2" s="414"/>
      <c r="D2" s="417"/>
      <c r="E2" s="412"/>
      <c r="F2" s="417"/>
      <c r="G2" s="412"/>
      <c r="H2" s="412"/>
      <c r="I2" s="412"/>
      <c r="J2" s="412"/>
      <c r="K2" s="412"/>
      <c r="L2" s="412"/>
      <c r="M2" s="417"/>
      <c r="N2" s="412"/>
      <c r="O2" s="382">
        <v>2019</v>
      </c>
      <c r="P2" s="382">
        <v>2020</v>
      </c>
      <c r="Q2" s="382">
        <v>2021</v>
      </c>
      <c r="R2" s="382">
        <v>2022</v>
      </c>
      <c r="S2" s="382">
        <v>2023</v>
      </c>
      <c r="T2" s="382">
        <v>2024</v>
      </c>
      <c r="U2" s="382">
        <v>2025</v>
      </c>
      <c r="V2" s="382">
        <v>2026</v>
      </c>
      <c r="W2" s="382">
        <v>2027</v>
      </c>
      <c r="X2" s="382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117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144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606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120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121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122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145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179</v>
      </c>
      <c r="C11" s="240" t="s">
        <v>42</v>
      </c>
      <c r="D11" s="218" t="s">
        <v>180</v>
      </c>
      <c r="E11" s="259" t="s">
        <v>181</v>
      </c>
      <c r="F11" s="206" t="s">
        <v>50</v>
      </c>
      <c r="G11" s="207" t="s">
        <v>182</v>
      </c>
      <c r="H11" s="205" t="s">
        <v>44</v>
      </c>
      <c r="I11" s="214">
        <v>1.411</v>
      </c>
      <c r="J11" s="215" t="s">
        <v>183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184</v>
      </c>
      <c r="C12" s="240" t="s">
        <v>42</v>
      </c>
      <c r="D12" s="218" t="s">
        <v>185</v>
      </c>
      <c r="E12" s="259" t="s">
        <v>186</v>
      </c>
      <c r="F12" s="342" t="s">
        <v>53</v>
      </c>
      <c r="G12" s="207" t="s">
        <v>187</v>
      </c>
      <c r="H12" s="343" t="s">
        <v>43</v>
      </c>
      <c r="I12" s="214">
        <v>0.80200000000000005</v>
      </c>
      <c r="J12" s="215" t="s">
        <v>188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189</v>
      </c>
      <c r="C13" s="240" t="s">
        <v>42</v>
      </c>
      <c r="D13" s="218" t="s">
        <v>190</v>
      </c>
      <c r="E13" s="259">
        <v>2406072</v>
      </c>
      <c r="F13" s="342" t="s">
        <v>47</v>
      </c>
      <c r="G13" s="207" t="s">
        <v>191</v>
      </c>
      <c r="H13" s="343" t="s">
        <v>43</v>
      </c>
      <c r="I13" s="214">
        <v>0.51500000000000001</v>
      </c>
      <c r="J13" s="215" t="s">
        <v>192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233</v>
      </c>
      <c r="C14" s="240" t="s">
        <v>42</v>
      </c>
      <c r="D14" s="218" t="s">
        <v>234</v>
      </c>
      <c r="E14" s="259" t="s">
        <v>235</v>
      </c>
      <c r="F14" s="342" t="s">
        <v>57</v>
      </c>
      <c r="G14" s="207" t="s">
        <v>236</v>
      </c>
      <c r="H14" s="343" t="s">
        <v>44</v>
      </c>
      <c r="I14" s="214">
        <v>1.3</v>
      </c>
      <c r="J14" s="215" t="s">
        <v>237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193</v>
      </c>
      <c r="C15" s="240" t="s">
        <v>42</v>
      </c>
      <c r="D15" s="218" t="s">
        <v>194</v>
      </c>
      <c r="E15" s="259" t="s">
        <v>72</v>
      </c>
      <c r="F15" s="342" t="s">
        <v>54</v>
      </c>
      <c r="G15" s="207" t="s">
        <v>195</v>
      </c>
      <c r="H15" s="343" t="s">
        <v>43</v>
      </c>
      <c r="I15" s="214">
        <v>0.63200000000000001</v>
      </c>
      <c r="J15" s="215" t="s">
        <v>196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197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198</v>
      </c>
      <c r="H16" s="343" t="s">
        <v>44</v>
      </c>
      <c r="I16" s="214">
        <v>0.64700000000000002</v>
      </c>
      <c r="J16" s="215" t="s">
        <v>199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200</v>
      </c>
      <c r="C17" s="240" t="s">
        <v>42</v>
      </c>
      <c r="D17" s="218" t="s">
        <v>201</v>
      </c>
      <c r="E17" s="259" t="s">
        <v>202</v>
      </c>
      <c r="F17" s="342" t="s">
        <v>48</v>
      </c>
      <c r="G17" s="207" t="s">
        <v>203</v>
      </c>
      <c r="H17" s="343" t="s">
        <v>204</v>
      </c>
      <c r="I17" s="214">
        <v>1.72</v>
      </c>
      <c r="J17" s="215" t="s">
        <v>192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205</v>
      </c>
      <c r="C18" s="240" t="s">
        <v>42</v>
      </c>
      <c r="D18" s="218" t="s">
        <v>206</v>
      </c>
      <c r="E18" s="259" t="s">
        <v>207</v>
      </c>
      <c r="F18" s="342" t="s">
        <v>46</v>
      </c>
      <c r="G18" s="207" t="s">
        <v>208</v>
      </c>
      <c r="H18" s="343" t="s">
        <v>43</v>
      </c>
      <c r="I18" s="214">
        <v>0.503</v>
      </c>
      <c r="J18" s="215" t="s">
        <v>188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209</v>
      </c>
      <c r="C19" s="240" t="s">
        <v>42</v>
      </c>
      <c r="D19" s="218" t="s">
        <v>210</v>
      </c>
      <c r="E19" s="259" t="s">
        <v>211</v>
      </c>
      <c r="F19" s="342" t="s">
        <v>52</v>
      </c>
      <c r="G19" s="207" t="s">
        <v>212</v>
      </c>
      <c r="H19" s="343" t="s">
        <v>44</v>
      </c>
      <c r="I19" s="214">
        <v>0.57799999999999996</v>
      </c>
      <c r="J19" s="215" t="s">
        <v>213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214</v>
      </c>
      <c r="C20" s="240" t="s">
        <v>42</v>
      </c>
      <c r="D20" s="218" t="s">
        <v>215</v>
      </c>
      <c r="E20" s="259" t="s">
        <v>216</v>
      </c>
      <c r="F20" s="342" t="s">
        <v>126</v>
      </c>
      <c r="G20" s="207" t="s">
        <v>217</v>
      </c>
      <c r="H20" s="343" t="s">
        <v>44</v>
      </c>
      <c r="I20" s="214">
        <v>0.49299999999999999</v>
      </c>
      <c r="J20" s="215" t="s">
        <v>218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219</v>
      </c>
      <c r="C21" s="240" t="s">
        <v>42</v>
      </c>
      <c r="D21" s="218" t="s">
        <v>220</v>
      </c>
      <c r="E21" s="259" t="s">
        <v>221</v>
      </c>
      <c r="F21" s="342" t="s">
        <v>60</v>
      </c>
      <c r="G21" s="207" t="s">
        <v>222</v>
      </c>
      <c r="H21" s="343" t="s">
        <v>43</v>
      </c>
      <c r="I21" s="214">
        <v>1.665</v>
      </c>
      <c r="J21" s="215" t="s">
        <v>223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224</v>
      </c>
      <c r="C22" s="240" t="s">
        <v>42</v>
      </c>
      <c r="D22" s="218" t="s">
        <v>225</v>
      </c>
      <c r="E22" s="259" t="s">
        <v>226</v>
      </c>
      <c r="F22" s="342" t="s">
        <v>53</v>
      </c>
      <c r="G22" s="207" t="s">
        <v>227</v>
      </c>
      <c r="H22" s="343" t="s">
        <v>43</v>
      </c>
      <c r="I22" s="214">
        <v>0.99</v>
      </c>
      <c r="J22" s="215" t="s">
        <v>223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228</v>
      </c>
      <c r="C23" s="240" t="s">
        <v>42</v>
      </c>
      <c r="D23" s="218" t="s">
        <v>229</v>
      </c>
      <c r="E23" s="259" t="s">
        <v>230</v>
      </c>
      <c r="F23" s="342" t="s">
        <v>125</v>
      </c>
      <c r="G23" s="207" t="s">
        <v>231</v>
      </c>
      <c r="H23" s="343" t="s">
        <v>44</v>
      </c>
      <c r="I23" s="214">
        <v>0.61</v>
      </c>
      <c r="J23" s="215" t="s">
        <v>232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330</v>
      </c>
      <c r="C24" s="206" t="s">
        <v>42</v>
      </c>
      <c r="D24" s="218" t="s">
        <v>238</v>
      </c>
      <c r="E24" s="259" t="s">
        <v>239</v>
      </c>
      <c r="F24" s="342" t="s">
        <v>54</v>
      </c>
      <c r="G24" s="207" t="s">
        <v>240</v>
      </c>
      <c r="H24" s="343" t="s">
        <v>44</v>
      </c>
      <c r="I24" s="214">
        <v>1.79</v>
      </c>
      <c r="J24" s="215" t="s">
        <v>241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349</v>
      </c>
      <c r="C25" s="206" t="s">
        <v>147</v>
      </c>
      <c r="D25" s="218" t="s">
        <v>331</v>
      </c>
      <c r="E25" s="259" t="s">
        <v>411</v>
      </c>
      <c r="F25" s="342" t="s">
        <v>55</v>
      </c>
      <c r="G25" s="207" t="s">
        <v>380</v>
      </c>
      <c r="H25" s="343" t="s">
        <v>44</v>
      </c>
      <c r="I25" s="214">
        <v>2.165</v>
      </c>
      <c r="J25" s="215" t="s">
        <v>431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350</v>
      </c>
      <c r="C26" s="206" t="s">
        <v>147</v>
      </c>
      <c r="D26" s="218" t="s">
        <v>101</v>
      </c>
      <c r="E26" s="259" t="s">
        <v>68</v>
      </c>
      <c r="F26" s="342" t="s">
        <v>56</v>
      </c>
      <c r="G26" s="207" t="s">
        <v>381</v>
      </c>
      <c r="H26" s="343" t="s">
        <v>43</v>
      </c>
      <c r="I26" s="214">
        <v>1.415</v>
      </c>
      <c r="J26" s="215" t="s">
        <v>432</v>
      </c>
      <c r="K26" s="348">
        <v>10142538</v>
      </c>
      <c r="L26" s="216">
        <v>5071269</v>
      </c>
      <c r="M26" s="210">
        <f t="shared" ref="M26:M56" si="4">K26-L26</f>
        <v>5071269</v>
      </c>
      <c r="N26" s="211">
        <v>0.5</v>
      </c>
      <c r="O26" s="244"/>
      <c r="P26" s="244"/>
      <c r="Q26" s="258"/>
      <c r="R26" s="258"/>
      <c r="S26" s="258">
        <v>21269</v>
      </c>
      <c r="T26" s="258">
        <v>1500000</v>
      </c>
      <c r="U26" s="258">
        <v>1500000</v>
      </c>
      <c r="V26" s="258">
        <v>2050000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351</v>
      </c>
      <c r="C27" s="206" t="s">
        <v>147</v>
      </c>
      <c r="D27" s="218" t="s">
        <v>298</v>
      </c>
      <c r="E27" s="259" t="s">
        <v>412</v>
      </c>
      <c r="F27" s="342" t="s">
        <v>66</v>
      </c>
      <c r="G27" s="207" t="s">
        <v>382</v>
      </c>
      <c r="H27" s="343" t="s">
        <v>44</v>
      </c>
      <c r="I27" s="214">
        <v>0.76</v>
      </c>
      <c r="J27" s="215" t="s">
        <v>433</v>
      </c>
      <c r="K27" s="348">
        <v>5985966</v>
      </c>
      <c r="L27" s="216">
        <v>2992983</v>
      </c>
      <c r="M27" s="210">
        <f t="shared" si="4"/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352</v>
      </c>
      <c r="C28" s="206" t="s">
        <v>147</v>
      </c>
      <c r="D28" s="218" t="s">
        <v>210</v>
      </c>
      <c r="E28" s="259">
        <v>2411011</v>
      </c>
      <c r="F28" s="342" t="s">
        <v>52</v>
      </c>
      <c r="G28" s="207" t="s">
        <v>383</v>
      </c>
      <c r="H28" s="343" t="s">
        <v>44</v>
      </c>
      <c r="I28" s="214">
        <v>0.39500000000000002</v>
      </c>
      <c r="J28" s="215" t="s">
        <v>587</v>
      </c>
      <c r="K28" s="348">
        <v>5320778</v>
      </c>
      <c r="L28" s="216">
        <f>S28+T28</f>
        <v>2660389</v>
      </c>
      <c r="M28" s="210">
        <v>2660389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1330194.5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59" customFormat="1" ht="33" customHeight="1">
      <c r="A29" s="206">
        <v>27</v>
      </c>
      <c r="B29" s="206" t="s">
        <v>353</v>
      </c>
      <c r="C29" s="206"/>
      <c r="D29" s="218" t="s">
        <v>620</v>
      </c>
      <c r="E29" s="259" t="s">
        <v>413</v>
      </c>
      <c r="F29" s="342" t="s">
        <v>128</v>
      </c>
      <c r="G29" s="207" t="s">
        <v>384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60"/>
    </row>
    <row r="30" spans="1:30" s="319" customFormat="1" ht="33.75">
      <c r="A30" s="206">
        <v>28</v>
      </c>
      <c r="B30" s="206" t="s">
        <v>354</v>
      </c>
      <c r="C30" s="206"/>
      <c r="D30" s="218" t="s">
        <v>604</v>
      </c>
      <c r="E30" s="259" t="s">
        <v>414</v>
      </c>
      <c r="F30" s="342" t="s">
        <v>55</v>
      </c>
      <c r="G30" s="207" t="s">
        <v>385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58" customFormat="1" ht="33.75">
      <c r="A31" s="224">
        <v>29</v>
      </c>
      <c r="B31" s="224" t="s">
        <v>355</v>
      </c>
      <c r="C31" s="224" t="s">
        <v>287</v>
      </c>
      <c r="D31" s="233" t="s">
        <v>332</v>
      </c>
      <c r="E31" s="243">
        <v>2405073</v>
      </c>
      <c r="F31" s="325" t="s">
        <v>61</v>
      </c>
      <c r="G31" s="223" t="s">
        <v>386</v>
      </c>
      <c r="H31" s="326" t="s">
        <v>44</v>
      </c>
      <c r="I31" s="242">
        <v>2.65</v>
      </c>
      <c r="J31" s="226" t="s">
        <v>327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356</v>
      </c>
      <c r="C32" s="206" t="s">
        <v>147</v>
      </c>
      <c r="D32" s="218" t="s">
        <v>333</v>
      </c>
      <c r="E32" s="259" t="s">
        <v>415</v>
      </c>
      <c r="F32" s="342" t="s">
        <v>58</v>
      </c>
      <c r="G32" s="207" t="s">
        <v>387</v>
      </c>
      <c r="H32" s="343" t="s">
        <v>44</v>
      </c>
      <c r="I32" s="214">
        <v>0.42499999999999999</v>
      </c>
      <c r="J32" s="215" t="s">
        <v>326</v>
      </c>
      <c r="K32" s="348">
        <v>2112261</v>
      </c>
      <c r="L32" s="216">
        <v>1056130.5</v>
      </c>
      <c r="M32" s="210">
        <f t="shared" si="4"/>
        <v>1056130.5</v>
      </c>
      <c r="N32" s="211">
        <v>0.5</v>
      </c>
      <c r="O32" s="244"/>
      <c r="P32" s="244"/>
      <c r="Q32" s="258"/>
      <c r="R32" s="258"/>
      <c r="S32" s="258">
        <v>5000</v>
      </c>
      <c r="T32" s="258">
        <v>1051130.5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58" customFormat="1" ht="56.25">
      <c r="A33" s="224">
        <v>31</v>
      </c>
      <c r="B33" s="224" t="s">
        <v>357</v>
      </c>
      <c r="C33" s="224" t="s">
        <v>287</v>
      </c>
      <c r="D33" s="233" t="s">
        <v>215</v>
      </c>
      <c r="E33" s="243" t="s">
        <v>216</v>
      </c>
      <c r="F33" s="325" t="s">
        <v>126</v>
      </c>
      <c r="G33" s="223" t="s">
        <v>388</v>
      </c>
      <c r="H33" s="326" t="s">
        <v>43</v>
      </c>
      <c r="I33" s="242">
        <v>0.29799999999999999</v>
      </c>
      <c r="J33" s="226" t="s">
        <v>442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58" customFormat="1" ht="22.5">
      <c r="A34" s="224">
        <v>32</v>
      </c>
      <c r="B34" s="224" t="s">
        <v>358</v>
      </c>
      <c r="C34" s="224" t="s">
        <v>287</v>
      </c>
      <c r="D34" s="233" t="s">
        <v>334</v>
      </c>
      <c r="E34" s="243" t="s">
        <v>416</v>
      </c>
      <c r="F34" s="325" t="s">
        <v>59</v>
      </c>
      <c r="G34" s="223" t="s">
        <v>389</v>
      </c>
      <c r="H34" s="326" t="s">
        <v>44</v>
      </c>
      <c r="I34" s="242">
        <v>0.78900000000000003</v>
      </c>
      <c r="J34" s="226" t="s">
        <v>591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58" customFormat="1" ht="33.75">
      <c r="A35" s="224">
        <v>33</v>
      </c>
      <c r="B35" s="224" t="s">
        <v>359</v>
      </c>
      <c r="C35" s="224" t="s">
        <v>287</v>
      </c>
      <c r="D35" s="233" t="s">
        <v>335</v>
      </c>
      <c r="E35" s="243" t="s">
        <v>417</v>
      </c>
      <c r="F35" s="325" t="s">
        <v>61</v>
      </c>
      <c r="G35" s="223" t="s">
        <v>390</v>
      </c>
      <c r="H35" s="326" t="s">
        <v>44</v>
      </c>
      <c r="I35" s="242">
        <v>0.88500000000000001</v>
      </c>
      <c r="J35" s="226" t="s">
        <v>434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58" customFormat="1" ht="33.75">
      <c r="A36" s="224">
        <v>34</v>
      </c>
      <c r="B36" s="224" t="s">
        <v>360</v>
      </c>
      <c r="C36" s="224"/>
      <c r="D36" s="233" t="s">
        <v>592</v>
      </c>
      <c r="E36" s="243" t="s">
        <v>418</v>
      </c>
      <c r="F36" s="325" t="s">
        <v>141</v>
      </c>
      <c r="G36" s="223" t="s">
        <v>391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361</v>
      </c>
      <c r="C37" s="206" t="s">
        <v>147</v>
      </c>
      <c r="D37" s="218" t="s">
        <v>337</v>
      </c>
      <c r="E37" s="259" t="s">
        <v>419</v>
      </c>
      <c r="F37" s="342" t="s">
        <v>50</v>
      </c>
      <c r="G37" s="207" t="s">
        <v>392</v>
      </c>
      <c r="H37" s="343" t="s">
        <v>43</v>
      </c>
      <c r="I37" s="214">
        <v>0.80600000000000005</v>
      </c>
      <c r="J37" s="215" t="s">
        <v>435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362</v>
      </c>
      <c r="C38" s="206" t="s">
        <v>147</v>
      </c>
      <c r="D38" s="218" t="s">
        <v>338</v>
      </c>
      <c r="E38" s="259" t="s">
        <v>420</v>
      </c>
      <c r="F38" s="342" t="s">
        <v>62</v>
      </c>
      <c r="G38" s="207" t="s">
        <v>393</v>
      </c>
      <c r="H38" s="343" t="s">
        <v>43</v>
      </c>
      <c r="I38" s="214">
        <v>1.135</v>
      </c>
      <c r="J38" s="215" t="s">
        <v>436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58" customFormat="1" ht="22.5">
      <c r="A39" s="224">
        <v>37</v>
      </c>
      <c r="B39" s="224" t="s">
        <v>363</v>
      </c>
      <c r="C39" s="224" t="s">
        <v>287</v>
      </c>
      <c r="D39" s="233" t="s">
        <v>339</v>
      </c>
      <c r="E39" s="243" t="s">
        <v>421</v>
      </c>
      <c r="F39" s="325" t="s">
        <v>142</v>
      </c>
      <c r="G39" s="223" t="s">
        <v>394</v>
      </c>
      <c r="H39" s="326" t="s">
        <v>44</v>
      </c>
      <c r="I39" s="242">
        <v>0.55600000000000005</v>
      </c>
      <c r="J39" s="226" t="s">
        <v>434</v>
      </c>
      <c r="K39" s="281">
        <v>7208567</v>
      </c>
      <c r="L39" s="228">
        <v>3604283.5</v>
      </c>
      <c r="M39" s="220">
        <f t="shared" si="4"/>
        <v>3604283.5</v>
      </c>
      <c r="N39" s="229">
        <v>0.5</v>
      </c>
      <c r="O39" s="247"/>
      <c r="P39" s="247"/>
      <c r="Q39" s="298"/>
      <c r="R39" s="298"/>
      <c r="S39" s="298">
        <v>3604283.5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58" customFormat="1" ht="22.5">
      <c r="A40" s="224">
        <v>38</v>
      </c>
      <c r="B40" s="224" t="s">
        <v>364</v>
      </c>
      <c r="C40" s="224"/>
      <c r="D40" s="233" t="s">
        <v>595</v>
      </c>
      <c r="E40" s="243">
        <v>2403113</v>
      </c>
      <c r="F40" s="325" t="s">
        <v>56</v>
      </c>
      <c r="G40" s="223" t="s">
        <v>395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58" customFormat="1" ht="33.75">
      <c r="A41" s="224">
        <v>39</v>
      </c>
      <c r="B41" s="224" t="s">
        <v>365</v>
      </c>
      <c r="C41" s="224" t="s">
        <v>287</v>
      </c>
      <c r="D41" s="233" t="s">
        <v>215</v>
      </c>
      <c r="E41" s="243">
        <v>2472011</v>
      </c>
      <c r="F41" s="325" t="s">
        <v>126</v>
      </c>
      <c r="G41" s="223" t="s">
        <v>396</v>
      </c>
      <c r="H41" s="326" t="s">
        <v>43</v>
      </c>
      <c r="I41" s="242">
        <v>0.26900000000000002</v>
      </c>
      <c r="J41" s="226" t="s">
        <v>580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366</v>
      </c>
      <c r="C42" s="206" t="s">
        <v>147</v>
      </c>
      <c r="D42" s="218" t="s">
        <v>122</v>
      </c>
      <c r="E42" s="259" t="s">
        <v>63</v>
      </c>
      <c r="F42" s="342" t="s">
        <v>64</v>
      </c>
      <c r="G42" s="207" t="s">
        <v>397</v>
      </c>
      <c r="H42" s="343" t="s">
        <v>43</v>
      </c>
      <c r="I42" s="214">
        <v>1.02</v>
      </c>
      <c r="J42" s="215" t="s">
        <v>452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367</v>
      </c>
      <c r="C43" s="206" t="s">
        <v>147</v>
      </c>
      <c r="D43" s="218" t="s">
        <v>297</v>
      </c>
      <c r="E43" s="259" t="s">
        <v>422</v>
      </c>
      <c r="F43" s="342" t="s">
        <v>124</v>
      </c>
      <c r="G43" s="207" t="s">
        <v>398</v>
      </c>
      <c r="H43" s="343" t="s">
        <v>44</v>
      </c>
      <c r="I43" s="214">
        <v>0.89300000000000002</v>
      </c>
      <c r="J43" s="215" t="s">
        <v>438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58" customFormat="1" ht="33.75">
      <c r="A44" s="224">
        <v>42</v>
      </c>
      <c r="B44" s="224" t="s">
        <v>368</v>
      </c>
      <c r="C44" s="224" t="s">
        <v>287</v>
      </c>
      <c r="D44" s="233" t="s">
        <v>340</v>
      </c>
      <c r="E44" s="243">
        <v>2409023</v>
      </c>
      <c r="F44" s="325" t="s">
        <v>53</v>
      </c>
      <c r="G44" s="223" t="s">
        <v>399</v>
      </c>
      <c r="H44" s="326" t="s">
        <v>44</v>
      </c>
      <c r="I44" s="242">
        <v>4.3680000000000003</v>
      </c>
      <c r="J44" s="226" t="s">
        <v>588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58" customFormat="1" ht="22.5">
      <c r="A45" s="224">
        <v>43</v>
      </c>
      <c r="B45" s="224" t="s">
        <v>369</v>
      </c>
      <c r="C45" s="224" t="s">
        <v>287</v>
      </c>
      <c r="D45" s="233" t="s">
        <v>341</v>
      </c>
      <c r="E45" s="243" t="s">
        <v>423</v>
      </c>
      <c r="F45" s="325" t="s">
        <v>55</v>
      </c>
      <c r="G45" s="223" t="s">
        <v>400</v>
      </c>
      <c r="H45" s="326" t="s">
        <v>44</v>
      </c>
      <c r="I45" s="242">
        <v>1.9550000000000001</v>
      </c>
      <c r="J45" s="226" t="s">
        <v>439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58" customFormat="1" ht="22.5">
      <c r="A46" s="224">
        <v>44</v>
      </c>
      <c r="B46" s="224" t="s">
        <v>370</v>
      </c>
      <c r="C46" s="224" t="s">
        <v>287</v>
      </c>
      <c r="D46" s="233" t="s">
        <v>342</v>
      </c>
      <c r="E46" s="243" t="s">
        <v>424</v>
      </c>
      <c r="F46" s="325" t="s">
        <v>50</v>
      </c>
      <c r="G46" s="223" t="s">
        <v>401</v>
      </c>
      <c r="H46" s="326" t="s">
        <v>43</v>
      </c>
      <c r="I46" s="242">
        <v>0.45400000000000001</v>
      </c>
      <c r="J46" s="226" t="s">
        <v>327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371</v>
      </c>
      <c r="C47" s="206" t="s">
        <v>147</v>
      </c>
      <c r="D47" s="218" t="s">
        <v>106</v>
      </c>
      <c r="E47" s="259" t="s">
        <v>71</v>
      </c>
      <c r="F47" s="206" t="s">
        <v>54</v>
      </c>
      <c r="G47" s="207" t="s">
        <v>402</v>
      </c>
      <c r="H47" s="343" t="s">
        <v>43</v>
      </c>
      <c r="I47" s="214">
        <v>0.33800000000000002</v>
      </c>
      <c r="J47" s="226" t="s">
        <v>452</v>
      </c>
      <c r="K47" s="348">
        <v>5000000</v>
      </c>
      <c r="L47" s="216">
        <v>2500000</v>
      </c>
      <c r="M47" s="210">
        <f t="shared" si="4"/>
        <v>2500000</v>
      </c>
      <c r="N47" s="211">
        <v>0.5</v>
      </c>
      <c r="O47" s="244"/>
      <c r="P47" s="244"/>
      <c r="Q47" s="258"/>
      <c r="R47" s="258"/>
      <c r="S47" s="258">
        <v>1000000</v>
      </c>
      <c r="T47" s="258">
        <v>1500000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71" customFormat="1" ht="77.25" customHeight="1">
      <c r="A48" s="224">
        <v>46</v>
      </c>
      <c r="B48" s="224" t="s">
        <v>372</v>
      </c>
      <c r="C48" s="224"/>
      <c r="D48" s="233" t="s">
        <v>635</v>
      </c>
      <c r="E48" s="243" t="s">
        <v>425</v>
      </c>
      <c r="F48" s="325" t="s">
        <v>51</v>
      </c>
      <c r="G48" s="223" t="s">
        <v>403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77"/>
    </row>
    <row r="49" spans="1:30" s="358" customFormat="1" ht="22.5">
      <c r="A49" s="224">
        <v>47</v>
      </c>
      <c r="B49" s="224" t="s">
        <v>373</v>
      </c>
      <c r="C49" s="224" t="s">
        <v>287</v>
      </c>
      <c r="D49" s="233" t="s">
        <v>343</v>
      </c>
      <c r="E49" s="243" t="s">
        <v>426</v>
      </c>
      <c r="F49" s="325" t="s">
        <v>58</v>
      </c>
      <c r="G49" s="223" t="s">
        <v>404</v>
      </c>
      <c r="H49" s="326" t="s">
        <v>43</v>
      </c>
      <c r="I49" s="242">
        <v>0.35299999999999998</v>
      </c>
      <c r="J49" s="226" t="s">
        <v>440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58" customFormat="1" ht="22.5">
      <c r="A50" s="224">
        <v>48</v>
      </c>
      <c r="B50" s="224" t="s">
        <v>374</v>
      </c>
      <c r="C50" s="224" t="s">
        <v>287</v>
      </c>
      <c r="D50" s="233" t="s">
        <v>344</v>
      </c>
      <c r="E50" s="243" t="s">
        <v>427</v>
      </c>
      <c r="F50" s="325" t="s">
        <v>56</v>
      </c>
      <c r="G50" s="223" t="s">
        <v>405</v>
      </c>
      <c r="H50" s="326" t="s">
        <v>43</v>
      </c>
      <c r="I50" s="242">
        <v>0.27500000000000002</v>
      </c>
      <c r="J50" s="226" t="s">
        <v>441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58" customFormat="1" ht="22.5">
      <c r="A51" s="224">
        <v>49</v>
      </c>
      <c r="B51" s="224" t="s">
        <v>375</v>
      </c>
      <c r="C51" s="224" t="s">
        <v>287</v>
      </c>
      <c r="D51" s="233" t="s">
        <v>345</v>
      </c>
      <c r="E51" s="243">
        <v>2412042</v>
      </c>
      <c r="F51" s="325" t="s">
        <v>123</v>
      </c>
      <c r="G51" s="223" t="s">
        <v>406</v>
      </c>
      <c r="H51" s="326" t="s">
        <v>44</v>
      </c>
      <c r="I51" s="242">
        <v>0.75900000000000001</v>
      </c>
      <c r="J51" s="226" t="s">
        <v>442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58" customFormat="1" ht="22.5">
      <c r="A52" s="224">
        <v>50</v>
      </c>
      <c r="B52" s="224" t="s">
        <v>376</v>
      </c>
      <c r="C52" s="224" t="s">
        <v>287</v>
      </c>
      <c r="D52" s="233" t="s">
        <v>346</v>
      </c>
      <c r="E52" s="243" t="s">
        <v>428</v>
      </c>
      <c r="F52" s="325" t="s">
        <v>58</v>
      </c>
      <c r="G52" s="223" t="s">
        <v>407</v>
      </c>
      <c r="H52" s="326" t="s">
        <v>44</v>
      </c>
      <c r="I52" s="242">
        <v>0.35</v>
      </c>
      <c r="J52" s="226" t="s">
        <v>295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377</v>
      </c>
      <c r="C53" s="206" t="s">
        <v>147</v>
      </c>
      <c r="D53" s="218" t="s">
        <v>194</v>
      </c>
      <c r="E53" s="259" t="s">
        <v>72</v>
      </c>
      <c r="F53" s="342" t="s">
        <v>54</v>
      </c>
      <c r="G53" s="207" t="s">
        <v>408</v>
      </c>
      <c r="H53" s="343" t="s">
        <v>43</v>
      </c>
      <c r="I53" s="214">
        <v>0.73099999999999998</v>
      </c>
      <c r="J53" s="215" t="s">
        <v>586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378</v>
      </c>
      <c r="C54" s="224" t="s">
        <v>287</v>
      </c>
      <c r="D54" s="233" t="s">
        <v>347</v>
      </c>
      <c r="E54" s="243" t="s">
        <v>429</v>
      </c>
      <c r="F54" s="224" t="s">
        <v>54</v>
      </c>
      <c r="G54" s="223" t="s">
        <v>409</v>
      </c>
      <c r="H54" s="326" t="s">
        <v>204</v>
      </c>
      <c r="I54" s="242">
        <v>0.68700000000000006</v>
      </c>
      <c r="J54" s="226" t="s">
        <v>579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379</v>
      </c>
      <c r="C55" s="206" t="s">
        <v>147</v>
      </c>
      <c r="D55" s="218" t="s">
        <v>348</v>
      </c>
      <c r="E55" s="259" t="s">
        <v>430</v>
      </c>
      <c r="F55" s="342" t="s">
        <v>61</v>
      </c>
      <c r="G55" s="207" t="s">
        <v>410</v>
      </c>
      <c r="H55" s="343" t="s">
        <v>44</v>
      </c>
      <c r="I55" s="214">
        <v>1.355</v>
      </c>
      <c r="J55" s="215" t="s">
        <v>443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600</v>
      </c>
      <c r="C56" s="206" t="s">
        <v>147</v>
      </c>
      <c r="D56" s="218" t="s">
        <v>444</v>
      </c>
      <c r="E56" s="259" t="s">
        <v>448</v>
      </c>
      <c r="F56" s="342" t="s">
        <v>58</v>
      </c>
      <c r="G56" s="207" t="s">
        <v>445</v>
      </c>
      <c r="H56" s="343" t="s">
        <v>43</v>
      </c>
      <c r="I56" s="214">
        <v>3.9129999999999998</v>
      </c>
      <c r="J56" s="215" t="s">
        <v>451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598</v>
      </c>
      <c r="C57" s="206"/>
      <c r="D57" s="218" t="s">
        <v>589</v>
      </c>
      <c r="E57" s="259" t="s">
        <v>449</v>
      </c>
      <c r="F57" s="342" t="s">
        <v>47</v>
      </c>
      <c r="G57" s="207" t="s">
        <v>446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7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599</v>
      </c>
      <c r="C58" s="206"/>
      <c r="D58" s="218" t="s">
        <v>596</v>
      </c>
      <c r="E58" s="259" t="s">
        <v>450</v>
      </c>
      <c r="F58" s="342" t="s">
        <v>127</v>
      </c>
      <c r="G58" s="207" t="s">
        <v>447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511</v>
      </c>
      <c r="C59" s="206"/>
      <c r="D59" s="218" t="s">
        <v>612</v>
      </c>
      <c r="E59" s="259" t="s">
        <v>69</v>
      </c>
      <c r="F59" s="206" t="s">
        <v>47</v>
      </c>
      <c r="G59" s="207" t="s">
        <v>471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512</v>
      </c>
      <c r="C60" s="206" t="s">
        <v>147</v>
      </c>
      <c r="D60" s="218" t="s">
        <v>229</v>
      </c>
      <c r="E60" s="259" t="s">
        <v>230</v>
      </c>
      <c r="F60" s="342" t="s">
        <v>125</v>
      </c>
      <c r="G60" s="207" t="s">
        <v>472</v>
      </c>
      <c r="H60" s="205" t="s">
        <v>43</v>
      </c>
      <c r="I60" s="214">
        <v>0.46700000000000003</v>
      </c>
      <c r="J60" s="215" t="s">
        <v>567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59" customFormat="1" ht="30.75" customHeight="1">
      <c r="A61" s="206">
        <v>59</v>
      </c>
      <c r="B61" s="206" t="s">
        <v>513</v>
      </c>
      <c r="C61" s="206"/>
      <c r="D61" s="218" t="s">
        <v>615</v>
      </c>
      <c r="E61" s="259" t="s">
        <v>70</v>
      </c>
      <c r="F61" s="206" t="s">
        <v>58</v>
      </c>
      <c r="G61" s="207" t="s">
        <v>473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60"/>
    </row>
    <row r="62" spans="1:30" s="350" customFormat="1" ht="30.75" customHeight="1">
      <c r="A62" s="206">
        <v>60</v>
      </c>
      <c r="B62" s="206" t="s">
        <v>514</v>
      </c>
      <c r="C62" s="206"/>
      <c r="D62" s="218" t="s">
        <v>616</v>
      </c>
      <c r="E62" s="259" t="s">
        <v>63</v>
      </c>
      <c r="F62" s="206" t="s">
        <v>64</v>
      </c>
      <c r="G62" s="207" t="s">
        <v>474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59" customFormat="1" ht="33.75">
      <c r="A63" s="364">
        <v>61</v>
      </c>
      <c r="B63" s="224" t="s">
        <v>515</v>
      </c>
      <c r="C63" s="224" t="s">
        <v>287</v>
      </c>
      <c r="D63" s="233" t="s">
        <v>45</v>
      </c>
      <c r="E63" s="243" t="s">
        <v>69</v>
      </c>
      <c r="F63" s="224" t="s">
        <v>47</v>
      </c>
      <c r="G63" s="223" t="s">
        <v>475</v>
      </c>
      <c r="H63" s="222" t="s">
        <v>43</v>
      </c>
      <c r="I63" s="242">
        <v>0.54100000000000004</v>
      </c>
      <c r="J63" s="226" t="s">
        <v>634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60"/>
    </row>
    <row r="64" spans="1:30" s="359" customFormat="1" ht="22.5">
      <c r="A64" s="364">
        <v>62</v>
      </c>
      <c r="B64" s="224" t="s">
        <v>516</v>
      </c>
      <c r="C64" s="224" t="s">
        <v>287</v>
      </c>
      <c r="D64" s="233" t="s">
        <v>453</v>
      </c>
      <c r="E64" s="243" t="s">
        <v>551</v>
      </c>
      <c r="F64" s="224" t="s">
        <v>60</v>
      </c>
      <c r="G64" s="223" t="s">
        <v>476</v>
      </c>
      <c r="H64" s="222" t="s">
        <v>44</v>
      </c>
      <c r="I64" s="242">
        <v>0.627</v>
      </c>
      <c r="J64" s="226" t="s">
        <v>568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60"/>
    </row>
    <row r="65" spans="1:113" s="361" customFormat="1" ht="22.5">
      <c r="A65" s="364">
        <v>63</v>
      </c>
      <c r="B65" s="224" t="s">
        <v>517</v>
      </c>
      <c r="C65" s="224" t="s">
        <v>287</v>
      </c>
      <c r="D65" s="233" t="s">
        <v>454</v>
      </c>
      <c r="E65" s="243">
        <v>2401073</v>
      </c>
      <c r="F65" s="325" t="s">
        <v>55</v>
      </c>
      <c r="G65" s="223" t="s">
        <v>477</v>
      </c>
      <c r="H65" s="222" t="s">
        <v>43</v>
      </c>
      <c r="I65" s="242">
        <v>1.39</v>
      </c>
      <c r="J65" s="226" t="s">
        <v>629</v>
      </c>
      <c r="K65" s="281">
        <v>10731420</v>
      </c>
      <c r="L65" s="228">
        <v>5365710</v>
      </c>
      <c r="M65" s="220">
        <f t="shared" ref="M65" si="20">K65-L65</f>
        <v>5365710</v>
      </c>
      <c r="N65" s="229">
        <v>0.5</v>
      </c>
      <c r="O65" s="247"/>
      <c r="P65" s="247"/>
      <c r="Q65" s="298"/>
      <c r="R65" s="298"/>
      <c r="S65" s="298">
        <f>2856413.87+2509296.13</f>
        <v>5365710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59" customFormat="1" ht="31.5" customHeight="1">
      <c r="A66" s="206" t="s">
        <v>640</v>
      </c>
      <c r="B66" s="206" t="s">
        <v>518</v>
      </c>
      <c r="C66" s="206" t="s">
        <v>147</v>
      </c>
      <c r="D66" s="218" t="s">
        <v>455</v>
      </c>
      <c r="E66" s="259" t="s">
        <v>552</v>
      </c>
      <c r="F66" s="342" t="s">
        <v>55</v>
      </c>
      <c r="G66" s="207" t="s">
        <v>478</v>
      </c>
      <c r="H66" s="205" t="s">
        <v>44</v>
      </c>
      <c r="I66" s="214">
        <v>0.84</v>
      </c>
      <c r="J66" s="226" t="s">
        <v>644</v>
      </c>
      <c r="K66" s="348">
        <v>3069000</v>
      </c>
      <c r="L66" s="216"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60"/>
    </row>
    <row r="67" spans="1:113" s="361" customFormat="1" ht="25.5" customHeight="1">
      <c r="A67" s="206" t="s">
        <v>641</v>
      </c>
      <c r="B67" s="206" t="s">
        <v>519</v>
      </c>
      <c r="C67" s="206" t="s">
        <v>147</v>
      </c>
      <c r="D67" s="218" t="s">
        <v>234</v>
      </c>
      <c r="E67" s="259" t="s">
        <v>235</v>
      </c>
      <c r="F67" s="206" t="s">
        <v>57</v>
      </c>
      <c r="G67" s="207" t="s">
        <v>479</v>
      </c>
      <c r="H67" s="205" t="s">
        <v>44</v>
      </c>
      <c r="I67" s="214">
        <v>0.94299999999999995</v>
      </c>
      <c r="J67" s="215" t="s">
        <v>569</v>
      </c>
      <c r="K67" s="348">
        <v>4366000</v>
      </c>
      <c r="L67" s="216"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61" customFormat="1" ht="27" customHeight="1">
      <c r="A68" s="206">
        <v>66</v>
      </c>
      <c r="B68" s="206" t="s">
        <v>520</v>
      </c>
      <c r="C68" s="206"/>
      <c r="D68" s="218" t="s">
        <v>632</v>
      </c>
      <c r="E68" s="259" t="s">
        <v>552</v>
      </c>
      <c r="F68" s="206" t="s">
        <v>55</v>
      </c>
      <c r="G68" s="207" t="s">
        <v>480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35"/>
      <c r="Z68" s="336"/>
      <c r="AA68" s="337"/>
      <c r="AB68" s="337"/>
    </row>
    <row r="69" spans="1:113" s="361" customFormat="1" ht="22.5">
      <c r="A69" s="206">
        <v>67</v>
      </c>
      <c r="B69" s="206" t="s">
        <v>521</v>
      </c>
      <c r="C69" s="206"/>
      <c r="D69" s="218" t="s">
        <v>649</v>
      </c>
      <c r="E69" s="259" t="s">
        <v>68</v>
      </c>
      <c r="F69" s="206" t="s">
        <v>56</v>
      </c>
      <c r="G69" s="207" t="s">
        <v>481</v>
      </c>
      <c r="H69" s="205"/>
      <c r="I69" s="214"/>
      <c r="J69" s="215"/>
      <c r="K69" s="348"/>
      <c r="L69" s="216"/>
      <c r="M69" s="210"/>
      <c r="N69" s="211"/>
      <c r="O69" s="244"/>
      <c r="P69" s="244"/>
      <c r="Q69" s="258"/>
      <c r="R69" s="258"/>
      <c r="S69" s="258"/>
      <c r="T69" s="258"/>
      <c r="U69" s="258"/>
      <c r="V69" s="258"/>
      <c r="W69" s="258"/>
      <c r="X69" s="349"/>
      <c r="Y69" s="335"/>
      <c r="Z69" s="336"/>
      <c r="AA69" s="337"/>
      <c r="AB69" s="337"/>
    </row>
    <row r="70" spans="1:113" s="381" customFormat="1" ht="56.25">
      <c r="A70" s="364">
        <v>68</v>
      </c>
      <c r="B70" s="224" t="s">
        <v>522</v>
      </c>
      <c r="C70" s="224" t="s">
        <v>287</v>
      </c>
      <c r="D70" s="233" t="s">
        <v>456</v>
      </c>
      <c r="E70" s="243" t="s">
        <v>553</v>
      </c>
      <c r="F70" s="224" t="s">
        <v>58</v>
      </c>
      <c r="G70" s="223" t="s">
        <v>482</v>
      </c>
      <c r="H70" s="222" t="s">
        <v>44</v>
      </c>
      <c r="I70" s="242">
        <v>0.38500000000000001</v>
      </c>
      <c r="J70" s="226" t="s">
        <v>645</v>
      </c>
      <c r="K70" s="281">
        <v>3568673</v>
      </c>
      <c r="L70" s="228">
        <f>S70</f>
        <v>1784336.5000000002</v>
      </c>
      <c r="M70" s="220">
        <f t="shared" ref="M70:M71" si="31">K70-L70</f>
        <v>1784336.4999999998</v>
      </c>
      <c r="N70" s="229">
        <v>0.5</v>
      </c>
      <c r="O70" s="247"/>
      <c r="P70" s="247"/>
      <c r="Q70" s="298"/>
      <c r="R70" s="298"/>
      <c r="S70" s="298">
        <f>1784336.5-1100969.13+630678.31+470290.82</f>
        <v>1784336.5000000002</v>
      </c>
      <c r="T70" s="298">
        <v>0</v>
      </c>
      <c r="U70" s="298">
        <v>0</v>
      </c>
      <c r="V70" s="298"/>
      <c r="W70" s="298"/>
      <c r="X70" s="260"/>
      <c r="Y70" s="139"/>
      <c r="Z70" s="307"/>
      <c r="AA70" s="308"/>
      <c r="AB70" s="308"/>
    </row>
    <row r="71" spans="1:113" s="381" customFormat="1" ht="34.5" customHeight="1">
      <c r="A71" s="364" t="s">
        <v>650</v>
      </c>
      <c r="B71" s="224" t="s">
        <v>523</v>
      </c>
      <c r="C71" s="224" t="s">
        <v>287</v>
      </c>
      <c r="D71" s="233" t="s">
        <v>454</v>
      </c>
      <c r="E71" s="243" t="s">
        <v>554</v>
      </c>
      <c r="F71" s="325" t="s">
        <v>55</v>
      </c>
      <c r="G71" s="223" t="s">
        <v>483</v>
      </c>
      <c r="H71" s="222" t="s">
        <v>44</v>
      </c>
      <c r="I71" s="242">
        <v>0.75700000000000001</v>
      </c>
      <c r="J71" s="226" t="s">
        <v>296</v>
      </c>
      <c r="K71" s="281">
        <v>5989024</v>
      </c>
      <c r="L71" s="228">
        <v>429709.18</v>
      </c>
      <c r="M71" s="220">
        <f t="shared" si="31"/>
        <v>5559314.8200000003</v>
      </c>
      <c r="N71" s="229">
        <v>0.5</v>
      </c>
      <c r="O71" s="247"/>
      <c r="P71" s="247"/>
      <c r="Q71" s="298"/>
      <c r="R71" s="298"/>
      <c r="S71" s="298">
        <v>429709.18</v>
      </c>
      <c r="T71" s="298">
        <v>0</v>
      </c>
      <c r="U71" s="298">
        <v>0</v>
      </c>
      <c r="V71" s="298"/>
      <c r="W71" s="298"/>
      <c r="X71" s="260"/>
      <c r="Y71" s="139"/>
      <c r="Z71" s="307"/>
      <c r="AA71" s="308"/>
      <c r="AB71" s="308"/>
    </row>
    <row r="72" spans="1:113" s="181" customFormat="1" ht="20.100000000000001" customHeight="1">
      <c r="A72" s="424" t="s">
        <v>41</v>
      </c>
      <c r="B72" s="425"/>
      <c r="C72" s="425"/>
      <c r="D72" s="425"/>
      <c r="E72" s="425"/>
      <c r="F72" s="425"/>
      <c r="G72" s="425"/>
      <c r="H72" s="426"/>
      <c r="I72" s="235">
        <f>SUM(I3:I71)</f>
        <v>64.637999999999977</v>
      </c>
      <c r="J72" s="382" t="s">
        <v>14</v>
      </c>
      <c r="K72" s="220">
        <f>SUM(K3:K71)</f>
        <v>318863573.32999998</v>
      </c>
      <c r="L72" s="220">
        <f>SUM(L3:L71)</f>
        <v>145578153.06</v>
      </c>
      <c r="M72" s="220">
        <f>SUM(M3:M71)</f>
        <v>173285420.27000001</v>
      </c>
      <c r="N72" s="236" t="s">
        <v>14</v>
      </c>
      <c r="O72" s="220">
        <f t="shared" ref="O72:X72" si="32">SUM(O3:O71)</f>
        <v>0</v>
      </c>
      <c r="P72" s="220">
        <f t="shared" si="32"/>
        <v>0</v>
      </c>
      <c r="Q72" s="220">
        <f t="shared" si="32"/>
        <v>9360007.4000000004</v>
      </c>
      <c r="R72" s="220">
        <f t="shared" si="32"/>
        <v>19662608.82</v>
      </c>
      <c r="S72" s="220">
        <f t="shared" si="32"/>
        <v>70058642.74000001</v>
      </c>
      <c r="T72" s="220">
        <f t="shared" si="32"/>
        <v>26641757.620000001</v>
      </c>
      <c r="U72" s="220">
        <f t="shared" si="32"/>
        <v>10120578</v>
      </c>
      <c r="V72" s="220">
        <f t="shared" si="32"/>
        <v>5827281.9800000004</v>
      </c>
      <c r="W72" s="220">
        <f t="shared" si="32"/>
        <v>2193001</v>
      </c>
      <c r="X72" s="220">
        <f t="shared" si="32"/>
        <v>1714275.5</v>
      </c>
      <c r="Y72" s="291"/>
      <c r="Z72" s="291"/>
      <c r="AA72" s="291"/>
      <c r="AB72" s="291"/>
      <c r="AC72" s="301"/>
      <c r="AD72" s="138"/>
      <c r="AE72" s="162"/>
      <c r="AF72" s="138"/>
      <c r="AG72" s="292"/>
      <c r="AH72" s="162"/>
      <c r="AI72" s="162"/>
      <c r="AJ72" s="162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2" customFormat="1" ht="20.100000000000001" customHeight="1">
      <c r="A73" s="427" t="s">
        <v>34</v>
      </c>
      <c r="B73" s="428"/>
      <c r="C73" s="428"/>
      <c r="D73" s="428"/>
      <c r="E73" s="428"/>
      <c r="F73" s="428"/>
      <c r="G73" s="428"/>
      <c r="H73" s="429"/>
      <c r="I73" s="238">
        <f>SUMIF($C$3:$C$71,"K",I3:I71)</f>
        <v>28.688999999999993</v>
      </c>
      <c r="J73" s="384" t="s">
        <v>14</v>
      </c>
      <c r="K73" s="210">
        <f>SUMIF($C$3:$C$71,"K",K3:K71)</f>
        <v>132218971.00999999</v>
      </c>
      <c r="L73" s="210">
        <f>SUMIF($C$3:$C$71,"K",L3:L71)</f>
        <v>59286693.07</v>
      </c>
      <c r="M73" s="210">
        <f>SUMIF($C$3:$C$71,"K",M3:M71)</f>
        <v>72932277.940000013</v>
      </c>
      <c r="N73" s="239" t="s">
        <v>14</v>
      </c>
      <c r="O73" s="210">
        <f t="shared" ref="O73:X73" si="33">SUMIF($C$3:$C$71,"K",O3:O71)</f>
        <v>0</v>
      </c>
      <c r="P73" s="210">
        <f t="shared" si="33"/>
        <v>0</v>
      </c>
      <c r="Q73" s="210">
        <f t="shared" si="33"/>
        <v>9360007.4000000004</v>
      </c>
      <c r="R73" s="210">
        <f t="shared" si="33"/>
        <v>19662608.82</v>
      </c>
      <c r="S73" s="210">
        <f t="shared" si="33"/>
        <v>24459871.849999998</v>
      </c>
      <c r="T73" s="210">
        <f t="shared" si="33"/>
        <v>3765099.5</v>
      </c>
      <c r="U73" s="210">
        <f t="shared" si="33"/>
        <v>1011161.5</v>
      </c>
      <c r="V73" s="210">
        <f t="shared" si="33"/>
        <v>1027944</v>
      </c>
      <c r="W73" s="210">
        <f t="shared" si="33"/>
        <v>0</v>
      </c>
      <c r="X73" s="210">
        <f t="shared" si="33"/>
        <v>0</v>
      </c>
      <c r="Y73" s="291"/>
      <c r="Z73" s="291"/>
      <c r="AA73" s="291"/>
      <c r="AB73" s="291"/>
      <c r="AC73" s="301"/>
      <c r="AD73" s="138"/>
      <c r="AE73" s="162"/>
      <c r="AF73" s="138"/>
      <c r="AG73" s="292"/>
      <c r="AH73" s="138"/>
      <c r="AI73" s="292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s="181" customFormat="1" ht="20.100000000000001" customHeight="1">
      <c r="A74" s="424" t="s">
        <v>35</v>
      </c>
      <c r="B74" s="425"/>
      <c r="C74" s="425"/>
      <c r="D74" s="425"/>
      <c r="E74" s="425"/>
      <c r="F74" s="425"/>
      <c r="G74" s="425"/>
      <c r="H74" s="426"/>
      <c r="I74" s="235">
        <f>SUMIF($C$3:$C$71,"N",I3:I71)</f>
        <v>18.348000000000006</v>
      </c>
      <c r="J74" s="382" t="s">
        <v>14</v>
      </c>
      <c r="K74" s="220">
        <f>SUMIF($C$3:$C$71,"N",K3:K71)</f>
        <v>74706764.400000006</v>
      </c>
      <c r="L74" s="220">
        <f>SUMIF($C$3:$C$71,"N",L3:L71)</f>
        <v>34566055.890000001</v>
      </c>
      <c r="M74" s="220">
        <f>SUMIF($C$3:$C$71,"N",M3:M71)</f>
        <v>40140708.509999998</v>
      </c>
      <c r="N74" s="236" t="s">
        <v>14</v>
      </c>
      <c r="O74" s="220">
        <f t="shared" ref="O74:X74" si="34">SUMIF($C$3:$C$71,"N",O3:O71)</f>
        <v>0</v>
      </c>
      <c r="P74" s="220">
        <f t="shared" si="34"/>
        <v>0</v>
      </c>
      <c r="Q74" s="220">
        <f t="shared" si="34"/>
        <v>0</v>
      </c>
      <c r="R74" s="220">
        <f t="shared" si="34"/>
        <v>0</v>
      </c>
      <c r="S74" s="220">
        <f t="shared" si="34"/>
        <v>34566055.890000001</v>
      </c>
      <c r="T74" s="220">
        <f t="shared" si="34"/>
        <v>0</v>
      </c>
      <c r="U74" s="220">
        <f t="shared" si="34"/>
        <v>0</v>
      </c>
      <c r="V74" s="220">
        <f t="shared" si="34"/>
        <v>0</v>
      </c>
      <c r="W74" s="220">
        <f t="shared" si="34"/>
        <v>0</v>
      </c>
      <c r="X74" s="220">
        <f t="shared" si="34"/>
        <v>0</v>
      </c>
      <c r="Y74" s="291"/>
      <c r="Z74" s="291"/>
      <c r="AA74" s="291"/>
      <c r="AB74" s="291"/>
      <c r="AC74" s="301"/>
      <c r="AD74" s="138"/>
      <c r="AE74" s="162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20.100000000000001" customHeight="1">
      <c r="A75" s="427" t="s">
        <v>36</v>
      </c>
      <c r="B75" s="428"/>
      <c r="C75" s="428"/>
      <c r="D75" s="428"/>
      <c r="E75" s="428"/>
      <c r="F75" s="428"/>
      <c r="G75" s="428"/>
      <c r="H75" s="429"/>
      <c r="I75" s="238">
        <f>SUMIF($C$3:$C$71,"W",I3:I71)</f>
        <v>17.601000000000003</v>
      </c>
      <c r="J75" s="384" t="s">
        <v>14</v>
      </c>
      <c r="K75" s="210">
        <f>SUMIF($C$3:$C$71,"W",K3:K71)</f>
        <v>111937837.91999999</v>
      </c>
      <c r="L75" s="210">
        <f>SUMIF($C$3:$C$71,"W",L3:L71)</f>
        <v>51725404.100000001</v>
      </c>
      <c r="M75" s="210">
        <f>SUMIF($C$3:$C$71,"W",M3:M71)</f>
        <v>60212433.82</v>
      </c>
      <c r="N75" s="239" t="s">
        <v>14</v>
      </c>
      <c r="O75" s="210">
        <f t="shared" ref="O75:X75" si="35">SUMIF($C$3:$C$71,"W",O3:O71)</f>
        <v>0</v>
      </c>
      <c r="P75" s="210">
        <f t="shared" si="35"/>
        <v>0</v>
      </c>
      <c r="Q75" s="210">
        <f t="shared" si="35"/>
        <v>0</v>
      </c>
      <c r="R75" s="210">
        <f t="shared" si="35"/>
        <v>0</v>
      </c>
      <c r="S75" s="210">
        <f t="shared" si="35"/>
        <v>11032715</v>
      </c>
      <c r="T75" s="210">
        <f t="shared" si="35"/>
        <v>22876658.120000001</v>
      </c>
      <c r="U75" s="210">
        <f t="shared" si="35"/>
        <v>9109416.5</v>
      </c>
      <c r="V75" s="210">
        <f t="shared" si="35"/>
        <v>4799337.9800000004</v>
      </c>
      <c r="W75" s="210">
        <f t="shared" si="35"/>
        <v>2193001</v>
      </c>
      <c r="X75" s="210">
        <f t="shared" si="35"/>
        <v>1714275.5</v>
      </c>
      <c r="Y75" s="291"/>
      <c r="Z75" s="291"/>
      <c r="AA75" s="291"/>
      <c r="AB75" s="291"/>
      <c r="AC75" s="301"/>
      <c r="AD75" s="138"/>
      <c r="AE75" s="162"/>
      <c r="AF75" s="138"/>
      <c r="AG75" s="138"/>
      <c r="AH75" s="138"/>
      <c r="AI75" s="292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301" customFormat="1" ht="15">
      <c r="K76" s="290"/>
      <c r="L76" s="290"/>
      <c r="M76" s="290"/>
      <c r="AE76" s="162"/>
    </row>
    <row r="77" spans="1:113" s="181" customFormat="1" ht="15">
      <c r="A77" s="107" t="s">
        <v>22</v>
      </c>
      <c r="B77" s="152"/>
      <c r="C77" s="152"/>
      <c r="D77" s="152"/>
      <c r="E77" s="183"/>
      <c r="F77" s="183"/>
      <c r="G77" s="184"/>
      <c r="H77" s="183"/>
      <c r="I77" s="183"/>
      <c r="J77" s="184"/>
      <c r="K77" s="296"/>
      <c r="L77" s="282"/>
      <c r="M77" s="189"/>
      <c r="N77" s="186"/>
      <c r="O77" s="185"/>
      <c r="P77" s="184"/>
      <c r="Q77" s="187"/>
      <c r="R77" s="185"/>
      <c r="S77" s="184"/>
      <c r="T77" s="184"/>
      <c r="U77" s="184"/>
      <c r="V77" s="184"/>
      <c r="W77" s="184"/>
      <c r="X77" s="188"/>
      <c r="Y77" s="301"/>
      <c r="Z77" s="301"/>
      <c r="AA77" s="301"/>
      <c r="AB77" s="301"/>
      <c r="AC77" s="301"/>
      <c r="AD77" s="138"/>
      <c r="AE77" s="162"/>
      <c r="AF77" s="138"/>
      <c r="AG77" s="138"/>
      <c r="AH77" s="138"/>
      <c r="AI77" s="292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1" customFormat="1" ht="15">
      <c r="A78" s="108" t="s">
        <v>23</v>
      </c>
      <c r="B78" s="152"/>
      <c r="C78" s="152"/>
      <c r="D78" s="152"/>
      <c r="E78" s="183"/>
      <c r="F78" s="183"/>
      <c r="G78" s="184"/>
      <c r="H78" s="183"/>
      <c r="I78" s="183"/>
      <c r="J78" s="184"/>
      <c r="K78" s="189"/>
      <c r="L78" s="189"/>
      <c r="M78" s="189"/>
      <c r="N78" s="186"/>
      <c r="O78" s="184"/>
      <c r="P78" s="185"/>
      <c r="Q78" s="189"/>
      <c r="R78" s="185"/>
      <c r="S78" s="185"/>
      <c r="T78" s="184"/>
      <c r="U78" s="184"/>
      <c r="V78" s="184"/>
      <c r="W78" s="184"/>
      <c r="X78" s="188"/>
      <c r="Y78" s="301"/>
      <c r="Z78" s="301"/>
      <c r="AA78" s="301"/>
      <c r="AB78" s="301"/>
      <c r="AC78" s="301"/>
      <c r="AD78" s="138"/>
      <c r="AE78" s="162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s="181" customFormat="1" ht="15">
      <c r="A79" s="107" t="s">
        <v>39</v>
      </c>
      <c r="B79" s="152"/>
      <c r="C79" s="152"/>
      <c r="D79" s="152"/>
      <c r="E79" s="183"/>
      <c r="F79" s="183"/>
      <c r="G79" s="184"/>
      <c r="H79" s="183"/>
      <c r="I79" s="183"/>
      <c r="J79" s="184"/>
      <c r="K79" s="187"/>
      <c r="L79" s="189"/>
      <c r="M79" s="187"/>
      <c r="N79" s="190"/>
      <c r="O79" s="185"/>
      <c r="P79" s="184"/>
      <c r="Q79" s="189"/>
      <c r="R79" s="184"/>
      <c r="S79" s="185"/>
      <c r="T79" s="185"/>
      <c r="U79" s="184"/>
      <c r="V79" s="184"/>
      <c r="W79" s="184"/>
      <c r="X79" s="188"/>
      <c r="Y79" s="152"/>
      <c r="Z79" s="152"/>
      <c r="AA79" s="152"/>
      <c r="AB79" s="183"/>
      <c r="AC79" s="138"/>
      <c r="AD79" s="138"/>
      <c r="AE79" s="162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8"/>
      <c r="DB79" s="138"/>
      <c r="DC79" s="138"/>
      <c r="DD79" s="138"/>
      <c r="DE79" s="138"/>
      <c r="DF79" s="138"/>
      <c r="DG79" s="138"/>
      <c r="DH79" s="138"/>
      <c r="DI79" s="138"/>
    </row>
    <row r="80" spans="1:113" ht="19.5" customHeight="1">
      <c r="A80" s="151" t="s">
        <v>329</v>
      </c>
      <c r="X80" s="157"/>
      <c r="AE80" s="162"/>
    </row>
    <row r="81" spans="1:24">
      <c r="A81" s="151" t="s">
        <v>611</v>
      </c>
      <c r="X81" s="157"/>
    </row>
    <row r="82" spans="1:24" s="301" customFormat="1" ht="15.75" customHeight="1">
      <c r="A82" s="151"/>
      <c r="K82" s="290"/>
      <c r="L82" s="293"/>
      <c r="M82" s="297"/>
      <c r="Q82" s="162"/>
    </row>
    <row r="83" spans="1:24" s="301" customFormat="1" ht="15">
      <c r="K83" s="293"/>
      <c r="L83" s="290"/>
      <c r="M83" s="290"/>
      <c r="R83" s="162"/>
    </row>
    <row r="84" spans="1:24" s="301" customFormat="1" ht="15">
      <c r="K84" s="290"/>
      <c r="L84" s="290"/>
      <c r="M84" s="290"/>
      <c r="O84" s="162"/>
    </row>
    <row r="85" spans="1:24" s="301" customFormat="1" ht="15">
      <c r="K85" s="290"/>
      <c r="L85" s="290"/>
      <c r="M85" s="290"/>
    </row>
    <row r="86" spans="1:24" s="301" customFormat="1" ht="15">
      <c r="J86" s="294"/>
      <c r="K86" s="290"/>
      <c r="L86" s="290"/>
      <c r="M86" s="290"/>
    </row>
    <row r="87" spans="1:24" s="301" customFormat="1" ht="15">
      <c r="K87" s="290"/>
      <c r="L87" s="290"/>
      <c r="M87" s="290"/>
    </row>
    <row r="88" spans="1:24" s="301" customFormat="1" ht="15">
      <c r="K88" s="290"/>
      <c r="L88" s="290"/>
      <c r="M88" s="290"/>
    </row>
    <row r="89" spans="1:24" s="301" customFormat="1" ht="15">
      <c r="K89" s="290"/>
      <c r="L89" s="290"/>
      <c r="M89" s="290"/>
    </row>
    <row r="90" spans="1:24" s="301" customFormat="1" ht="15">
      <c r="K90" s="290"/>
      <c r="L90" s="290"/>
      <c r="M90" s="290"/>
    </row>
    <row r="91" spans="1:24" s="301" customFormat="1" ht="15">
      <c r="K91" s="290"/>
      <c r="L91" s="290"/>
      <c r="M91" s="290"/>
    </row>
    <row r="92" spans="1:24" s="301" customFormat="1" ht="15">
      <c r="K92" s="290"/>
      <c r="L92" s="290"/>
      <c r="M92" s="290"/>
    </row>
    <row r="93" spans="1:24" s="301" customFormat="1" ht="15">
      <c r="K93" s="290"/>
      <c r="L93" s="290"/>
      <c r="M93" s="290"/>
    </row>
    <row r="94" spans="1:24" s="301" customFormat="1" ht="15">
      <c r="K94" s="290"/>
      <c r="L94" s="290"/>
      <c r="M94" s="290"/>
    </row>
    <row r="95" spans="1:24" s="301" customFormat="1" ht="15">
      <c r="K95" s="290"/>
      <c r="L95" s="290"/>
      <c r="M95" s="290"/>
    </row>
    <row r="96" spans="1:24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  <row r="1395" spans="11:13" s="301" customFormat="1" ht="15">
      <c r="K1395" s="290"/>
      <c r="L1395" s="290"/>
      <c r="M1395" s="290"/>
    </row>
  </sheetData>
  <mergeCells count="19">
    <mergeCell ref="A75:H75"/>
    <mergeCell ref="A74:H74"/>
    <mergeCell ref="E1:E2"/>
    <mergeCell ref="A73:H73"/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N1:N2"/>
    <mergeCell ref="C1:C2"/>
    <mergeCell ref="F1:F2"/>
    <mergeCell ref="G1:G2"/>
    <mergeCell ref="D1:D2"/>
  </mergeCells>
  <conditionalFormatting sqref="Y3:AB57">
    <cfRule type="containsText" dxfId="11" priority="15" operator="containsText" text="fałsz">
      <formula>NOT(ISERROR(SEARCH("fałsz",Y3)))</formula>
    </cfRule>
  </conditionalFormatting>
  <conditionalFormatting sqref="Y58:AB60">
    <cfRule type="containsText" dxfId="10" priority="12" operator="containsText" text="fałsz">
      <formula>NOT(ISERROR(SEARCH("fałsz",Y58)))</formula>
    </cfRule>
  </conditionalFormatting>
  <conditionalFormatting sqref="Y61:AB64">
    <cfRule type="containsText" dxfId="9" priority="11" operator="containsText" text="fałsz">
      <formula>NOT(ISERROR(SEARCH("fałsz",Y61)))</formula>
    </cfRule>
  </conditionalFormatting>
  <conditionalFormatting sqref="Y62:AB62">
    <cfRule type="containsText" dxfId="8" priority="10" operator="containsText" text="fałsz">
      <formula>NOT(ISERROR(SEARCH("fałsz",Y62)))</formula>
    </cfRule>
  </conditionalFormatting>
  <conditionalFormatting sqref="Y65:AB66 Y71:AB71">
    <cfRule type="containsText" dxfId="7" priority="9" operator="containsText" text="fałsz">
      <formula>NOT(ISERROR(SEARCH("fałsz",Y65)))</formula>
    </cfRule>
  </conditionalFormatting>
  <conditionalFormatting sqref="Y65:AB66 Y71:AB71">
    <cfRule type="containsText" dxfId="6" priority="8" operator="containsText" text="fałsz">
      <formula>NOT(ISERROR(SEARCH("fałsz",Y65)))</formula>
    </cfRule>
  </conditionalFormatting>
  <conditionalFormatting sqref="Y67:AB67 Y69:AB70">
    <cfRule type="containsText" dxfId="5" priority="6" operator="containsText" text="fałsz">
      <formula>NOT(ISERROR(SEARCH("fałsz",Y67)))</formula>
    </cfRule>
  </conditionalFormatting>
  <conditionalFormatting sqref="Y67:AB67 Y69:AB70">
    <cfRule type="containsText" dxfId="4" priority="5" operator="containsText" text="fałsz">
      <formula>NOT(ISERROR(SEARCH("fałsz",Y67)))</formula>
    </cfRule>
  </conditionalFormatting>
  <conditionalFormatting sqref="Y68:AB68">
    <cfRule type="containsText" dxfId="3" priority="4" operator="containsText" text="fałsz">
      <formula>NOT(ISERROR(SEARCH("fałsz",Y68)))</formula>
    </cfRule>
  </conditionalFormatting>
  <conditionalFormatting sqref="Y68:AB68">
    <cfRule type="containsText" dxfId="2" priority="3" operator="containsText" text="fałsz">
      <formula>NOT(ISERROR(SEARCH("fałsz",Y68)))</formula>
    </cfRule>
  </conditionalFormatting>
  <conditionalFormatting sqref="Y70:AB70">
    <cfRule type="containsText" dxfId="1" priority="2" operator="containsText" text="fałsz">
      <formula>NOT(ISERROR(SEARCH("fałsz",Y70)))</formula>
    </cfRule>
  </conditionalFormatting>
  <conditionalFormatting sqref="Y70:AB70">
    <cfRule type="containsText" dxfId="0" priority="1" operator="containsText" text="fałsz">
      <formula>NOT(ISERROR(SEARCH("fałsz",Y70)))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BD834"/>
  <sheetViews>
    <sheetView showGridLines="0" view="pageBreakPreview" topLeftCell="B16" zoomScale="120" zoomScaleNormal="78" zoomScaleSheetLayoutView="120" workbookViewId="0">
      <selection activeCell="D13" sqref="D13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30" t="s">
        <v>4</v>
      </c>
      <c r="B1" s="430" t="s">
        <v>5</v>
      </c>
      <c r="C1" s="434" t="s">
        <v>76</v>
      </c>
      <c r="D1" s="431" t="s">
        <v>6</v>
      </c>
      <c r="E1" s="434" t="s">
        <v>30</v>
      </c>
      <c r="F1" s="431" t="s">
        <v>7</v>
      </c>
      <c r="G1" s="430" t="s">
        <v>24</v>
      </c>
      <c r="H1" s="430" t="s">
        <v>8</v>
      </c>
      <c r="I1" s="430" t="s">
        <v>21</v>
      </c>
      <c r="J1" s="430" t="s">
        <v>9</v>
      </c>
      <c r="K1" s="430" t="s">
        <v>10</v>
      </c>
      <c r="L1" s="431" t="s">
        <v>13</v>
      </c>
      <c r="M1" s="430" t="s">
        <v>11</v>
      </c>
      <c r="N1" s="430" t="s">
        <v>12</v>
      </c>
      <c r="O1" s="430"/>
      <c r="P1" s="430"/>
      <c r="Q1" s="430"/>
      <c r="R1" s="430"/>
      <c r="S1" s="430"/>
      <c r="T1" s="430"/>
      <c r="U1" s="430"/>
      <c r="V1" s="430"/>
      <c r="W1" s="430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30"/>
      <c r="B2" s="430"/>
      <c r="C2" s="435"/>
      <c r="D2" s="432"/>
      <c r="E2" s="435"/>
      <c r="F2" s="432"/>
      <c r="G2" s="430"/>
      <c r="H2" s="430"/>
      <c r="I2" s="430"/>
      <c r="J2" s="430"/>
      <c r="K2" s="430"/>
      <c r="L2" s="432"/>
      <c r="M2" s="430"/>
      <c r="N2" s="378">
        <v>2019</v>
      </c>
      <c r="O2" s="378">
        <v>2020</v>
      </c>
      <c r="P2" s="378">
        <v>2021</v>
      </c>
      <c r="Q2" s="378">
        <v>2022</v>
      </c>
      <c r="R2" s="378">
        <v>2023</v>
      </c>
      <c r="S2" s="378">
        <v>2024</v>
      </c>
      <c r="T2" s="378">
        <v>2025</v>
      </c>
      <c r="U2" s="378">
        <v>2026</v>
      </c>
      <c r="V2" s="378">
        <v>2027</v>
      </c>
      <c r="W2" s="378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269</v>
      </c>
      <c r="C3" s="222"/>
      <c r="D3" s="233" t="s">
        <v>584</v>
      </c>
      <c r="E3" s="224" t="s">
        <v>131</v>
      </c>
      <c r="F3" s="223" t="s">
        <v>286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300</v>
      </c>
      <c r="C4" s="205"/>
      <c r="D4" s="218" t="s">
        <v>607</v>
      </c>
      <c r="E4" s="206">
        <v>2473</v>
      </c>
      <c r="F4" s="339" t="s">
        <v>312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2" customFormat="1" ht="33.75">
      <c r="A5" s="222">
        <v>3</v>
      </c>
      <c r="B5" s="222" t="s">
        <v>301</v>
      </c>
      <c r="C5" s="222"/>
      <c r="D5" s="233" t="s">
        <v>608</v>
      </c>
      <c r="E5" s="224" t="s">
        <v>138</v>
      </c>
      <c r="F5" s="324" t="s">
        <v>313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2" customFormat="1" ht="33.75">
      <c r="A6" s="222">
        <v>4</v>
      </c>
      <c r="B6" s="222" t="s">
        <v>302</v>
      </c>
      <c r="C6" s="222"/>
      <c r="D6" s="233" t="s">
        <v>609</v>
      </c>
      <c r="E6" s="224" t="s">
        <v>135</v>
      </c>
      <c r="F6" s="324" t="s">
        <v>314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1" customFormat="1" ht="33.75">
      <c r="A7" s="222">
        <v>5</v>
      </c>
      <c r="B7" s="222" t="s">
        <v>303</v>
      </c>
      <c r="C7" s="222"/>
      <c r="D7" s="233" t="s">
        <v>622</v>
      </c>
      <c r="E7" s="224" t="s">
        <v>140</v>
      </c>
      <c r="F7" s="324" t="s">
        <v>315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68"/>
      <c r="AC7" s="369"/>
      <c r="AD7" s="370"/>
      <c r="AE7" s="368"/>
      <c r="AF7" s="368"/>
      <c r="AG7" s="368"/>
      <c r="AH7" s="368"/>
      <c r="AI7" s="368"/>
      <c r="AJ7" s="368"/>
      <c r="AK7" s="368"/>
      <c r="AL7" s="368"/>
      <c r="AM7" s="368"/>
      <c r="AN7" s="368"/>
      <c r="AO7" s="368"/>
      <c r="AP7" s="368"/>
      <c r="AQ7" s="368"/>
      <c r="AR7" s="368"/>
      <c r="AS7" s="368"/>
      <c r="AT7" s="368"/>
      <c r="AU7" s="368"/>
      <c r="AV7" s="368"/>
      <c r="AW7" s="368"/>
      <c r="AX7" s="368"/>
      <c r="AY7" s="368"/>
      <c r="AZ7" s="368"/>
      <c r="BA7" s="368"/>
      <c r="BB7" s="368"/>
      <c r="BC7" s="368"/>
      <c r="BD7" s="368"/>
    </row>
    <row r="8" spans="1:56" s="359" customFormat="1" ht="45">
      <c r="A8" s="205">
        <v>6</v>
      </c>
      <c r="B8" s="205" t="s">
        <v>304</v>
      </c>
      <c r="C8" s="205"/>
      <c r="D8" s="218" t="s">
        <v>623</v>
      </c>
      <c r="E8" s="206" t="s">
        <v>132</v>
      </c>
      <c r="F8" s="339" t="s">
        <v>316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2"/>
      <c r="AC8" s="373"/>
      <c r="AD8" s="374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</row>
    <row r="9" spans="1:56" s="359" customFormat="1" ht="33.75">
      <c r="A9" s="205">
        <v>7</v>
      </c>
      <c r="B9" s="205" t="s">
        <v>305</v>
      </c>
      <c r="C9" s="205"/>
      <c r="D9" s="218" t="s">
        <v>624</v>
      </c>
      <c r="E9" s="206">
        <v>2475</v>
      </c>
      <c r="F9" s="339" t="s">
        <v>317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2"/>
      <c r="AC9" s="373"/>
      <c r="AD9" s="374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  <c r="BA9" s="372"/>
      <c r="BB9" s="372"/>
      <c r="BC9" s="372"/>
      <c r="BD9" s="372"/>
    </row>
    <row r="10" spans="1:56" s="367" customFormat="1" ht="45">
      <c r="A10" s="205">
        <v>8</v>
      </c>
      <c r="B10" s="205" t="s">
        <v>306</v>
      </c>
      <c r="C10" s="365"/>
      <c r="D10" s="218" t="s">
        <v>614</v>
      </c>
      <c r="E10" s="206" t="s">
        <v>137</v>
      </c>
      <c r="F10" s="207" t="s">
        <v>318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6"/>
      <c r="AC10" s="366"/>
      <c r="AD10" s="366"/>
      <c r="AE10" s="366"/>
      <c r="AF10" s="366"/>
      <c r="AG10" s="366"/>
      <c r="AH10" s="366"/>
      <c r="AI10" s="366"/>
      <c r="AJ10" s="366"/>
      <c r="AK10" s="366"/>
      <c r="AL10" s="366"/>
      <c r="AM10" s="366"/>
      <c r="AN10" s="366"/>
      <c r="AO10" s="366"/>
      <c r="AP10" s="366"/>
      <c r="AQ10" s="366"/>
      <c r="AR10" s="366"/>
      <c r="AS10" s="366"/>
      <c r="AT10" s="366"/>
      <c r="AU10" s="366"/>
      <c r="AV10" s="366"/>
      <c r="AW10" s="366"/>
      <c r="AX10" s="366"/>
      <c r="AY10" s="366"/>
      <c r="AZ10" s="366"/>
      <c r="BA10" s="366"/>
      <c r="BB10" s="366"/>
      <c r="BC10" s="366"/>
      <c r="BD10" s="366"/>
    </row>
    <row r="11" spans="1:56" s="376" customFormat="1" ht="33.75">
      <c r="A11" s="222">
        <v>9</v>
      </c>
      <c r="B11" s="222" t="s">
        <v>307</v>
      </c>
      <c r="C11" s="222"/>
      <c r="D11" s="233" t="s">
        <v>625</v>
      </c>
      <c r="E11" s="224" t="s">
        <v>136</v>
      </c>
      <c r="F11" s="223" t="s">
        <v>319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375"/>
      <c r="BC11" s="375"/>
      <c r="BD11" s="375"/>
    </row>
    <row r="12" spans="1:56" s="165" customFormat="1" ht="33.75">
      <c r="A12" s="222">
        <v>10</v>
      </c>
      <c r="B12" s="222" t="s">
        <v>308</v>
      </c>
      <c r="C12" s="222"/>
      <c r="D12" s="233" t="s">
        <v>633</v>
      </c>
      <c r="E12" s="224">
        <v>2412</v>
      </c>
      <c r="F12" s="223" t="s">
        <v>320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380" customFormat="1" ht="33.75">
      <c r="A13" s="222">
        <v>11</v>
      </c>
      <c r="B13" s="222" t="s">
        <v>309</v>
      </c>
      <c r="C13" s="232"/>
      <c r="D13" s="233" t="s">
        <v>636</v>
      </c>
      <c r="E13" s="230" t="s">
        <v>133</v>
      </c>
      <c r="F13" s="223" t="s">
        <v>321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375"/>
      <c r="BC13" s="375"/>
      <c r="BD13" s="375"/>
    </row>
    <row r="14" spans="1:56" s="97" customFormat="1" ht="45">
      <c r="A14" s="222">
        <v>12</v>
      </c>
      <c r="B14" s="222" t="s">
        <v>310</v>
      </c>
      <c r="C14" s="232"/>
      <c r="D14" s="233" t="s">
        <v>605</v>
      </c>
      <c r="E14" s="224" t="s">
        <v>134</v>
      </c>
      <c r="F14" s="223" t="s">
        <v>322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380" customFormat="1" ht="45">
      <c r="A15" s="222">
        <v>13</v>
      </c>
      <c r="B15" s="222" t="s">
        <v>311</v>
      </c>
      <c r="C15" s="232"/>
      <c r="D15" s="233" t="s">
        <v>637</v>
      </c>
      <c r="E15" s="224">
        <v>2474</v>
      </c>
      <c r="F15" s="223" t="s">
        <v>323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  <c r="BD15" s="375"/>
    </row>
    <row r="16" spans="1:56" s="193" customFormat="1" ht="20.100000000000001" customHeight="1">
      <c r="A16" s="430" t="s">
        <v>41</v>
      </c>
      <c r="B16" s="430"/>
      <c r="C16" s="430"/>
      <c r="D16" s="430"/>
      <c r="E16" s="430"/>
      <c r="F16" s="430"/>
      <c r="G16" s="430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30" t="s">
        <v>35</v>
      </c>
      <c r="B17" s="430"/>
      <c r="C17" s="430"/>
      <c r="D17" s="430"/>
      <c r="E17" s="430"/>
      <c r="F17" s="430"/>
      <c r="G17" s="430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33" t="s">
        <v>36</v>
      </c>
      <c r="B18" s="433"/>
      <c r="C18" s="433"/>
      <c r="D18" s="433"/>
      <c r="E18" s="433"/>
      <c r="F18" s="433"/>
      <c r="G18" s="433"/>
      <c r="H18" s="238">
        <f>SUMIF($C$3:$C$15,"W",H3:H15)</f>
        <v>0</v>
      </c>
      <c r="I18" s="379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4">
    <pageSetUpPr fitToPage="1"/>
  </sheetPr>
  <dimension ref="A1:AI51"/>
  <sheetViews>
    <sheetView showGridLines="0" view="pageBreakPreview" topLeftCell="A15" zoomScale="115" zoomScaleNormal="78" zoomScaleSheetLayoutView="115" workbookViewId="0">
      <selection activeCell="G15" sqref="G15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2" t="s">
        <v>4</v>
      </c>
      <c r="B1" s="412" t="s">
        <v>5</v>
      </c>
      <c r="C1" s="413" t="s">
        <v>76</v>
      </c>
      <c r="D1" s="416" t="s">
        <v>6</v>
      </c>
      <c r="E1" s="416" t="s">
        <v>30</v>
      </c>
      <c r="F1" s="416" t="s">
        <v>15</v>
      </c>
      <c r="G1" s="412" t="s">
        <v>7</v>
      </c>
      <c r="H1" s="412" t="s">
        <v>24</v>
      </c>
      <c r="I1" s="412" t="s">
        <v>8</v>
      </c>
      <c r="J1" s="412" t="s">
        <v>25</v>
      </c>
      <c r="K1" s="412" t="s">
        <v>9</v>
      </c>
      <c r="L1" s="412" t="s">
        <v>10</v>
      </c>
      <c r="M1" s="416" t="s">
        <v>13</v>
      </c>
      <c r="N1" s="412" t="s">
        <v>11</v>
      </c>
      <c r="O1" s="412" t="s">
        <v>12</v>
      </c>
      <c r="P1" s="412"/>
      <c r="Q1" s="412"/>
      <c r="R1" s="412"/>
      <c r="S1" s="412"/>
      <c r="T1" s="412"/>
      <c r="U1" s="412"/>
      <c r="V1" s="412"/>
      <c r="W1" s="412"/>
      <c r="X1" s="412"/>
      <c r="Y1" s="139"/>
      <c r="Z1" s="139"/>
      <c r="AA1" s="139"/>
      <c r="AB1" s="139"/>
    </row>
    <row r="2" spans="1:30" ht="20.100000000000001" customHeight="1">
      <c r="A2" s="412"/>
      <c r="B2" s="412"/>
      <c r="C2" s="414"/>
      <c r="D2" s="417"/>
      <c r="E2" s="417"/>
      <c r="F2" s="417"/>
      <c r="G2" s="412"/>
      <c r="H2" s="412"/>
      <c r="I2" s="412"/>
      <c r="J2" s="412"/>
      <c r="K2" s="412"/>
      <c r="L2" s="412"/>
      <c r="M2" s="417"/>
      <c r="N2" s="412"/>
      <c r="O2" s="382">
        <v>2019</v>
      </c>
      <c r="P2" s="382">
        <v>2020</v>
      </c>
      <c r="Q2" s="382">
        <v>2021</v>
      </c>
      <c r="R2" s="382">
        <v>2022</v>
      </c>
      <c r="S2" s="382">
        <v>2023</v>
      </c>
      <c r="T2" s="382">
        <v>2024</v>
      </c>
      <c r="U2" s="382">
        <v>2025</v>
      </c>
      <c r="V2" s="382">
        <v>2026</v>
      </c>
      <c r="W2" s="382">
        <v>2027</v>
      </c>
      <c r="X2" s="382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511</v>
      </c>
      <c r="C3" s="206"/>
      <c r="D3" s="218" t="s">
        <v>601</v>
      </c>
      <c r="E3" s="259" t="s">
        <v>69</v>
      </c>
      <c r="F3" s="206" t="s">
        <v>47</v>
      </c>
      <c r="G3" s="207" t="s">
        <v>471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512</v>
      </c>
      <c r="C4" s="206"/>
      <c r="D4" s="218" t="s">
        <v>602</v>
      </c>
      <c r="E4" s="259" t="s">
        <v>230</v>
      </c>
      <c r="F4" s="342" t="s">
        <v>125</v>
      </c>
      <c r="G4" s="207" t="s">
        <v>472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513</v>
      </c>
      <c r="C5" s="206"/>
      <c r="D5" s="218" t="s">
        <v>603</v>
      </c>
      <c r="E5" s="259" t="s">
        <v>70</v>
      </c>
      <c r="F5" s="206" t="s">
        <v>58</v>
      </c>
      <c r="G5" s="207" t="s">
        <v>473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514</v>
      </c>
      <c r="C6" s="206"/>
      <c r="D6" s="218" t="s">
        <v>613</v>
      </c>
      <c r="E6" s="259" t="s">
        <v>63</v>
      </c>
      <c r="F6" s="206" t="s">
        <v>64</v>
      </c>
      <c r="G6" s="207" t="s">
        <v>474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515</v>
      </c>
      <c r="C7" s="224"/>
      <c r="D7" s="233" t="s">
        <v>617</v>
      </c>
      <c r="E7" s="243" t="s">
        <v>69</v>
      </c>
      <c r="F7" s="224" t="s">
        <v>47</v>
      </c>
      <c r="G7" s="223" t="s">
        <v>475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516</v>
      </c>
      <c r="C8" s="224"/>
      <c r="D8" s="233" t="s">
        <v>618</v>
      </c>
      <c r="E8" s="243" t="s">
        <v>551</v>
      </c>
      <c r="F8" s="224" t="s">
        <v>60</v>
      </c>
      <c r="G8" s="223" t="s">
        <v>476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517</v>
      </c>
      <c r="C9" s="224"/>
      <c r="D9" s="233" t="s">
        <v>619</v>
      </c>
      <c r="E9" s="243">
        <v>2401073</v>
      </c>
      <c r="F9" s="325" t="s">
        <v>55</v>
      </c>
      <c r="G9" s="223" t="s">
        <v>477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59" customFormat="1" ht="33.75">
      <c r="A10" s="206">
        <v>8</v>
      </c>
      <c r="B10" s="206" t="s">
        <v>518</v>
      </c>
      <c r="C10" s="206"/>
      <c r="D10" s="218" t="s">
        <v>626</v>
      </c>
      <c r="E10" s="259" t="s">
        <v>552</v>
      </c>
      <c r="F10" s="342" t="s">
        <v>55</v>
      </c>
      <c r="G10" s="207" t="s">
        <v>478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60"/>
    </row>
    <row r="11" spans="1:30" s="361" customFormat="1" ht="39" customHeight="1">
      <c r="A11" s="206">
        <v>9</v>
      </c>
      <c r="B11" s="206" t="s">
        <v>519</v>
      </c>
      <c r="C11" s="206"/>
      <c r="D11" s="218" t="s">
        <v>628</v>
      </c>
      <c r="E11" s="259" t="s">
        <v>235</v>
      </c>
      <c r="F11" s="206" t="s">
        <v>57</v>
      </c>
      <c r="G11" s="207" t="s">
        <v>479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1" customFormat="1" ht="40.5" customHeight="1">
      <c r="A12" s="206">
        <v>10</v>
      </c>
      <c r="B12" s="206" t="s">
        <v>520</v>
      </c>
      <c r="C12" s="206"/>
      <c r="D12" s="218" t="s">
        <v>627</v>
      </c>
      <c r="E12" s="259" t="s">
        <v>552</v>
      </c>
      <c r="F12" s="206" t="s">
        <v>55</v>
      </c>
      <c r="G12" s="207" t="s">
        <v>480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1" customFormat="1" ht="33.75">
      <c r="A13" s="206">
        <v>11</v>
      </c>
      <c r="B13" s="206" t="s">
        <v>521</v>
      </c>
      <c r="C13" s="206"/>
      <c r="D13" s="218" t="s">
        <v>642</v>
      </c>
      <c r="E13" s="259" t="s">
        <v>68</v>
      </c>
      <c r="F13" s="206" t="s">
        <v>56</v>
      </c>
      <c r="G13" s="207" t="s">
        <v>481</v>
      </c>
      <c r="H13" s="205"/>
      <c r="I13" s="214"/>
      <c r="J13" s="215"/>
      <c r="K13" s="348"/>
      <c r="L13" s="216"/>
      <c r="M13" s="210"/>
      <c r="N13" s="211"/>
      <c r="O13" s="244"/>
      <c r="P13" s="244"/>
      <c r="Q13" s="258"/>
      <c r="R13" s="258"/>
      <c r="S13" s="258"/>
      <c r="T13" s="258"/>
      <c r="U13" s="258"/>
      <c r="V13" s="258"/>
      <c r="W13" s="258"/>
      <c r="X13" s="349"/>
      <c r="Y13" s="335"/>
      <c r="Z13" s="336"/>
      <c r="AA13" s="337"/>
      <c r="AB13" s="337"/>
    </row>
    <row r="14" spans="1:30" s="381" customFormat="1" ht="33.75">
      <c r="A14" s="206">
        <v>12</v>
      </c>
      <c r="B14" s="224" t="s">
        <v>522</v>
      </c>
      <c r="C14" s="224"/>
      <c r="D14" s="233" t="s">
        <v>643</v>
      </c>
      <c r="E14" s="243" t="s">
        <v>553</v>
      </c>
      <c r="F14" s="224" t="s">
        <v>58</v>
      </c>
      <c r="G14" s="223" t="s">
        <v>482</v>
      </c>
      <c r="H14" s="222"/>
      <c r="I14" s="242"/>
      <c r="J14" s="226"/>
      <c r="K14" s="281"/>
      <c r="L14" s="228"/>
      <c r="M14" s="220"/>
      <c r="N14" s="229"/>
      <c r="O14" s="247"/>
      <c r="P14" s="247"/>
      <c r="Q14" s="298"/>
      <c r="R14" s="298"/>
      <c r="S14" s="298"/>
      <c r="T14" s="298"/>
      <c r="U14" s="298"/>
      <c r="V14" s="298"/>
      <c r="W14" s="298"/>
      <c r="X14" s="260"/>
      <c r="Y14" s="139"/>
      <c r="Z14" s="307"/>
      <c r="AA14" s="308"/>
      <c r="AB14" s="308"/>
    </row>
    <row r="15" spans="1:30" s="371" customFormat="1" ht="42.75" customHeight="1">
      <c r="A15" s="206">
        <v>13</v>
      </c>
      <c r="B15" s="224" t="s">
        <v>523</v>
      </c>
      <c r="C15" s="224"/>
      <c r="D15" s="233" t="s">
        <v>619</v>
      </c>
      <c r="E15" s="243" t="s">
        <v>554</v>
      </c>
      <c r="F15" s="325" t="s">
        <v>55</v>
      </c>
      <c r="G15" s="223" t="s">
        <v>483</v>
      </c>
      <c r="H15" s="222"/>
      <c r="I15" s="242"/>
      <c r="J15" s="226"/>
      <c r="K15" s="281"/>
      <c r="L15" s="228"/>
      <c r="M15" s="220"/>
      <c r="N15" s="229"/>
      <c r="O15" s="247"/>
      <c r="P15" s="247"/>
      <c r="Q15" s="298"/>
      <c r="R15" s="298"/>
      <c r="S15" s="298"/>
      <c r="T15" s="298"/>
      <c r="U15" s="298"/>
      <c r="V15" s="298"/>
      <c r="W15" s="298"/>
      <c r="X15" s="260"/>
      <c r="Y15" s="139"/>
      <c r="Z15" s="307"/>
      <c r="AA15" s="308"/>
      <c r="AB15" s="308"/>
      <c r="AD15" s="377"/>
    </row>
    <row r="16" spans="1:30" s="323" customFormat="1" ht="22.5">
      <c r="A16" s="206">
        <v>14</v>
      </c>
      <c r="B16" s="224" t="s">
        <v>524</v>
      </c>
      <c r="C16" s="224" t="s">
        <v>287</v>
      </c>
      <c r="D16" s="233" t="s">
        <v>453</v>
      </c>
      <c r="E16" s="243">
        <v>2404063</v>
      </c>
      <c r="F16" s="325" t="s">
        <v>60</v>
      </c>
      <c r="G16" s="223" t="s">
        <v>484</v>
      </c>
      <c r="H16" s="222" t="s">
        <v>44</v>
      </c>
      <c r="I16" s="242">
        <v>0.34599999999999997</v>
      </c>
      <c r="J16" s="226" t="s">
        <v>568</v>
      </c>
      <c r="K16" s="281">
        <v>558967</v>
      </c>
      <c r="L16" s="228">
        <v>279483.5</v>
      </c>
      <c r="M16" s="220">
        <f t="shared" ref="M16:M42" si="0">K16-L16</f>
        <v>279483.5</v>
      </c>
      <c r="N16" s="229">
        <v>0.5</v>
      </c>
      <c r="O16" s="247"/>
      <c r="P16" s="247"/>
      <c r="Q16" s="298"/>
      <c r="R16" s="298"/>
      <c r="S16" s="298">
        <v>279483.5</v>
      </c>
      <c r="T16" s="298">
        <v>0</v>
      </c>
      <c r="U16" s="298">
        <v>0</v>
      </c>
      <c r="V16" s="298"/>
      <c r="W16" s="298"/>
      <c r="X16" s="260"/>
      <c r="Y16" s="139"/>
      <c r="Z16" s="307"/>
      <c r="AA16" s="308"/>
      <c r="AB16" s="308"/>
      <c r="AD16" s="322"/>
    </row>
    <row r="17" spans="1:35" s="319" customFormat="1" ht="33.75">
      <c r="A17" s="206">
        <v>15</v>
      </c>
      <c r="B17" s="206" t="s">
        <v>525</v>
      </c>
      <c r="C17" s="206" t="s">
        <v>147</v>
      </c>
      <c r="D17" s="218" t="s">
        <v>210</v>
      </c>
      <c r="E17" s="259" t="s">
        <v>211</v>
      </c>
      <c r="F17" s="342" t="s">
        <v>52</v>
      </c>
      <c r="G17" s="207" t="s">
        <v>485</v>
      </c>
      <c r="H17" s="205" t="s">
        <v>44</v>
      </c>
      <c r="I17" s="214">
        <v>0.625</v>
      </c>
      <c r="J17" s="215" t="s">
        <v>570</v>
      </c>
      <c r="K17" s="348">
        <v>4536888</v>
      </c>
      <c r="L17" s="216">
        <v>2268444</v>
      </c>
      <c r="M17" s="210">
        <f t="shared" si="0"/>
        <v>2268444</v>
      </c>
      <c r="N17" s="211">
        <v>0.5</v>
      </c>
      <c r="O17" s="244"/>
      <c r="P17" s="244"/>
      <c r="Q17" s="258"/>
      <c r="R17" s="258"/>
      <c r="S17" s="258">
        <v>1134222</v>
      </c>
      <c r="T17" s="258">
        <v>1134222</v>
      </c>
      <c r="U17" s="258">
        <v>0</v>
      </c>
      <c r="V17" s="258"/>
      <c r="W17" s="258"/>
      <c r="X17" s="349"/>
      <c r="Y17" s="335"/>
      <c r="Z17" s="336"/>
      <c r="AA17" s="337"/>
      <c r="AB17" s="337"/>
      <c r="AD17" s="338"/>
    </row>
    <row r="18" spans="1:35" s="319" customFormat="1" ht="22.5">
      <c r="A18" s="206">
        <v>16</v>
      </c>
      <c r="B18" s="206" t="s">
        <v>526</v>
      </c>
      <c r="C18" s="206" t="s">
        <v>147</v>
      </c>
      <c r="D18" s="218" t="s">
        <v>457</v>
      </c>
      <c r="E18" s="259" t="s">
        <v>555</v>
      </c>
      <c r="F18" s="342" t="s">
        <v>46</v>
      </c>
      <c r="G18" s="207" t="s">
        <v>486</v>
      </c>
      <c r="H18" s="205" t="s">
        <v>43</v>
      </c>
      <c r="I18" s="214">
        <v>0.45100000000000001</v>
      </c>
      <c r="J18" s="215" t="s">
        <v>436</v>
      </c>
      <c r="K18" s="348">
        <v>1766772</v>
      </c>
      <c r="L18" s="216">
        <v>883386</v>
      </c>
      <c r="M18" s="210">
        <f t="shared" si="0"/>
        <v>883386</v>
      </c>
      <c r="N18" s="211">
        <v>0.5</v>
      </c>
      <c r="O18" s="244"/>
      <c r="P18" s="244"/>
      <c r="Q18" s="258"/>
      <c r="R18" s="258"/>
      <c r="S18" s="258">
        <v>30000</v>
      </c>
      <c r="T18" s="258">
        <v>853386</v>
      </c>
      <c r="U18" s="258">
        <v>0</v>
      </c>
      <c r="V18" s="258"/>
      <c r="W18" s="258"/>
      <c r="X18" s="349"/>
      <c r="Y18" s="335"/>
      <c r="Z18" s="336"/>
      <c r="AA18" s="337"/>
      <c r="AB18" s="337"/>
      <c r="AD18" s="338"/>
    </row>
    <row r="19" spans="1:35" s="323" customFormat="1" ht="22.5">
      <c r="A19" s="206">
        <v>17</v>
      </c>
      <c r="B19" s="224" t="s">
        <v>527</v>
      </c>
      <c r="C19" s="224" t="s">
        <v>287</v>
      </c>
      <c r="D19" s="233" t="s">
        <v>458</v>
      </c>
      <c r="E19" s="243" t="s">
        <v>556</v>
      </c>
      <c r="F19" s="325" t="s">
        <v>56</v>
      </c>
      <c r="G19" s="223" t="s">
        <v>487</v>
      </c>
      <c r="H19" s="222" t="s">
        <v>44</v>
      </c>
      <c r="I19" s="242">
        <v>0.22</v>
      </c>
      <c r="J19" s="226" t="s">
        <v>440</v>
      </c>
      <c r="K19" s="281">
        <v>937574</v>
      </c>
      <c r="L19" s="228">
        <v>468787</v>
      </c>
      <c r="M19" s="220">
        <f t="shared" si="0"/>
        <v>468787</v>
      </c>
      <c r="N19" s="229">
        <v>0.5</v>
      </c>
      <c r="O19" s="247"/>
      <c r="P19" s="247"/>
      <c r="Q19" s="298"/>
      <c r="R19" s="298"/>
      <c r="S19" s="298">
        <v>468787</v>
      </c>
      <c r="T19" s="298">
        <v>0</v>
      </c>
      <c r="U19" s="298">
        <v>0</v>
      </c>
      <c r="V19" s="298"/>
      <c r="W19" s="298"/>
      <c r="X19" s="260"/>
      <c r="Y19" s="139"/>
      <c r="Z19" s="307"/>
      <c r="AA19" s="308"/>
      <c r="AB19" s="308"/>
      <c r="AD19" s="322"/>
    </row>
    <row r="20" spans="1:35" s="319" customFormat="1" ht="56.25">
      <c r="A20" s="206">
        <v>18</v>
      </c>
      <c r="B20" s="206" t="s">
        <v>528</v>
      </c>
      <c r="C20" s="206" t="s">
        <v>147</v>
      </c>
      <c r="D20" s="218" t="s">
        <v>456</v>
      </c>
      <c r="E20" s="259" t="s">
        <v>553</v>
      </c>
      <c r="F20" s="342" t="s">
        <v>58</v>
      </c>
      <c r="G20" s="207" t="s">
        <v>488</v>
      </c>
      <c r="H20" s="205" t="s">
        <v>44</v>
      </c>
      <c r="I20" s="214">
        <v>1.0960000000000001</v>
      </c>
      <c r="J20" s="215" t="s">
        <v>571</v>
      </c>
      <c r="K20" s="348">
        <v>9932456</v>
      </c>
      <c r="L20" s="216">
        <v>4966228</v>
      </c>
      <c r="M20" s="210">
        <f t="shared" si="0"/>
        <v>4966228</v>
      </c>
      <c r="N20" s="211">
        <v>0.5</v>
      </c>
      <c r="O20" s="244"/>
      <c r="P20" s="244"/>
      <c r="Q20" s="258"/>
      <c r="R20" s="258"/>
      <c r="S20" s="258">
        <v>3476356</v>
      </c>
      <c r="T20" s="258">
        <v>1489872</v>
      </c>
      <c r="U20" s="258">
        <v>0</v>
      </c>
      <c r="V20" s="258"/>
      <c r="W20" s="258"/>
      <c r="X20" s="349"/>
      <c r="Y20" s="335"/>
      <c r="Z20" s="336"/>
      <c r="AA20" s="337"/>
      <c r="AB20" s="337"/>
      <c r="AD20" s="338"/>
    </row>
    <row r="21" spans="1:35" s="323" customFormat="1" ht="22.5">
      <c r="A21" s="206">
        <v>19</v>
      </c>
      <c r="B21" s="224" t="s">
        <v>529</v>
      </c>
      <c r="C21" s="224" t="s">
        <v>287</v>
      </c>
      <c r="D21" s="233" t="s">
        <v>459</v>
      </c>
      <c r="E21" s="243">
        <v>2416053</v>
      </c>
      <c r="F21" s="325" t="s">
        <v>51</v>
      </c>
      <c r="G21" s="223" t="s">
        <v>489</v>
      </c>
      <c r="H21" s="222" t="s">
        <v>44</v>
      </c>
      <c r="I21" s="242">
        <v>0.35</v>
      </c>
      <c r="J21" s="226" t="s">
        <v>291</v>
      </c>
      <c r="K21" s="281">
        <v>1134020</v>
      </c>
      <c r="L21" s="228">
        <v>567010</v>
      </c>
      <c r="M21" s="220">
        <f t="shared" si="0"/>
        <v>567010</v>
      </c>
      <c r="N21" s="229">
        <v>0.5</v>
      </c>
      <c r="O21" s="247"/>
      <c r="P21" s="247"/>
      <c r="Q21" s="298"/>
      <c r="R21" s="298"/>
      <c r="S21" s="298">
        <v>567010</v>
      </c>
      <c r="T21" s="298">
        <v>0</v>
      </c>
      <c r="U21" s="298">
        <v>0</v>
      </c>
      <c r="V21" s="298"/>
      <c r="W21" s="298"/>
      <c r="X21" s="260"/>
      <c r="Y21" s="139"/>
      <c r="Z21" s="307"/>
      <c r="AA21" s="308"/>
      <c r="AB21" s="308"/>
      <c r="AD21" s="322"/>
    </row>
    <row r="22" spans="1:35" s="170" customFormat="1" ht="22.5">
      <c r="A22" s="206">
        <v>20</v>
      </c>
      <c r="B22" s="224" t="s">
        <v>530</v>
      </c>
      <c r="C22" s="224" t="s">
        <v>287</v>
      </c>
      <c r="D22" s="233" t="s">
        <v>460</v>
      </c>
      <c r="E22" s="243" t="s">
        <v>557</v>
      </c>
      <c r="F22" s="224" t="s">
        <v>51</v>
      </c>
      <c r="G22" s="223" t="s">
        <v>490</v>
      </c>
      <c r="H22" s="222" t="s">
        <v>44</v>
      </c>
      <c r="I22" s="242">
        <v>1.1479999999999999</v>
      </c>
      <c r="J22" s="226" t="s">
        <v>296</v>
      </c>
      <c r="K22" s="281">
        <v>5090441</v>
      </c>
      <c r="L22" s="228">
        <v>2545220.5</v>
      </c>
      <c r="M22" s="220">
        <f t="shared" si="0"/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531</v>
      </c>
      <c r="C23" s="224" t="s">
        <v>287</v>
      </c>
      <c r="D23" s="233" t="s">
        <v>461</v>
      </c>
      <c r="E23" s="243" t="s">
        <v>558</v>
      </c>
      <c r="F23" s="224" t="s">
        <v>48</v>
      </c>
      <c r="G23" s="223" t="s">
        <v>491</v>
      </c>
      <c r="H23" s="222" t="s">
        <v>44</v>
      </c>
      <c r="I23" s="242">
        <v>0.85299999999999998</v>
      </c>
      <c r="J23" s="226" t="s">
        <v>296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532</v>
      </c>
      <c r="C24" s="224" t="s">
        <v>287</v>
      </c>
      <c r="D24" s="233" t="s">
        <v>462</v>
      </c>
      <c r="E24" s="243" t="s">
        <v>559</v>
      </c>
      <c r="F24" s="224" t="s">
        <v>56</v>
      </c>
      <c r="G24" s="223" t="s">
        <v>492</v>
      </c>
      <c r="H24" s="222" t="s">
        <v>43</v>
      </c>
      <c r="I24" s="242">
        <v>0.20300000000000001</v>
      </c>
      <c r="J24" s="226" t="s">
        <v>291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22.5">
      <c r="A25" s="206">
        <v>23</v>
      </c>
      <c r="B25" s="206" t="s">
        <v>533</v>
      </c>
      <c r="C25" s="206" t="s">
        <v>147</v>
      </c>
      <c r="D25" s="218" t="s">
        <v>238</v>
      </c>
      <c r="E25" s="259">
        <v>2413062</v>
      </c>
      <c r="F25" s="206" t="s">
        <v>54</v>
      </c>
      <c r="G25" s="207" t="s">
        <v>493</v>
      </c>
      <c r="H25" s="205" t="s">
        <v>43</v>
      </c>
      <c r="I25" s="214">
        <v>2.15</v>
      </c>
      <c r="J25" s="215" t="s">
        <v>572</v>
      </c>
      <c r="K25" s="348">
        <v>5203036</v>
      </c>
      <c r="L25" s="216">
        <v>2601518</v>
      </c>
      <c r="M25" s="210">
        <f t="shared" si="0"/>
        <v>2601518</v>
      </c>
      <c r="N25" s="211">
        <v>0.5</v>
      </c>
      <c r="O25" s="244"/>
      <c r="P25" s="244"/>
      <c r="Q25" s="258"/>
      <c r="R25" s="258"/>
      <c r="S25" s="258">
        <v>135018</v>
      </c>
      <c r="T25" s="258">
        <v>1550000</v>
      </c>
      <c r="U25" s="258">
        <v>916500</v>
      </c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534</v>
      </c>
      <c r="C26" s="224" t="s">
        <v>287</v>
      </c>
      <c r="D26" s="233" t="s">
        <v>463</v>
      </c>
      <c r="E26" s="230" t="s">
        <v>560</v>
      </c>
      <c r="F26" s="222" t="s">
        <v>47</v>
      </c>
      <c r="G26" s="223" t="s">
        <v>494</v>
      </c>
      <c r="H26" s="222" t="s">
        <v>44</v>
      </c>
      <c r="I26" s="242">
        <v>0.39700000000000002</v>
      </c>
      <c r="J26" s="226" t="s">
        <v>437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535</v>
      </c>
      <c r="C27" s="206" t="s">
        <v>147</v>
      </c>
      <c r="D27" s="218" t="s">
        <v>457</v>
      </c>
      <c r="E27" s="259">
        <v>2408031</v>
      </c>
      <c r="F27" s="206" t="s">
        <v>46</v>
      </c>
      <c r="G27" s="207" t="s">
        <v>495</v>
      </c>
      <c r="H27" s="205" t="s">
        <v>43</v>
      </c>
      <c r="I27" s="214">
        <v>0.45</v>
      </c>
      <c r="J27" s="215" t="s">
        <v>436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>
      <c r="A28" s="206">
        <v>26</v>
      </c>
      <c r="B28" s="224" t="s">
        <v>536</v>
      </c>
      <c r="C28" s="224" t="s">
        <v>287</v>
      </c>
      <c r="D28" s="233" t="s">
        <v>464</v>
      </c>
      <c r="E28" s="243" t="s">
        <v>561</v>
      </c>
      <c r="F28" s="224" t="s">
        <v>60</v>
      </c>
      <c r="G28" s="223" t="s">
        <v>496</v>
      </c>
      <c r="H28" s="222" t="s">
        <v>44</v>
      </c>
      <c r="I28" s="242">
        <v>0.67300000000000004</v>
      </c>
      <c r="J28" s="226" t="s">
        <v>440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537</v>
      </c>
      <c r="C29" s="224" t="s">
        <v>287</v>
      </c>
      <c r="D29" s="233" t="s">
        <v>461</v>
      </c>
      <c r="E29" s="243" t="s">
        <v>558</v>
      </c>
      <c r="F29" s="224" t="s">
        <v>48</v>
      </c>
      <c r="G29" s="223" t="s">
        <v>497</v>
      </c>
      <c r="H29" s="222" t="s">
        <v>44</v>
      </c>
      <c r="I29" s="242">
        <v>0.61599999999999999</v>
      </c>
      <c r="J29" s="226" t="s">
        <v>296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538</v>
      </c>
      <c r="C30" s="206" t="s">
        <v>147</v>
      </c>
      <c r="D30" s="218" t="s">
        <v>206</v>
      </c>
      <c r="E30" s="208" t="s">
        <v>207</v>
      </c>
      <c r="F30" s="205" t="s">
        <v>46</v>
      </c>
      <c r="G30" s="207" t="s">
        <v>498</v>
      </c>
      <c r="H30" s="205" t="s">
        <v>44</v>
      </c>
      <c r="I30" s="214">
        <v>0.76</v>
      </c>
      <c r="J30" s="215" t="s">
        <v>573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539</v>
      </c>
      <c r="C31" s="224" t="s">
        <v>287</v>
      </c>
      <c r="D31" s="233" t="s">
        <v>465</v>
      </c>
      <c r="E31" s="243">
        <v>2408021</v>
      </c>
      <c r="F31" s="224" t="s">
        <v>46</v>
      </c>
      <c r="G31" s="223" t="s">
        <v>499</v>
      </c>
      <c r="H31" s="222" t="s">
        <v>43</v>
      </c>
      <c r="I31" s="242">
        <v>0.51</v>
      </c>
      <c r="J31" s="226" t="s">
        <v>291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540</v>
      </c>
      <c r="C32" s="224" t="s">
        <v>287</v>
      </c>
      <c r="D32" s="233" t="s">
        <v>336</v>
      </c>
      <c r="E32" s="230" t="s">
        <v>418</v>
      </c>
      <c r="F32" s="222" t="s">
        <v>141</v>
      </c>
      <c r="G32" s="223" t="s">
        <v>500</v>
      </c>
      <c r="H32" s="222" t="s">
        <v>204</v>
      </c>
      <c r="I32" s="242">
        <v>0.48</v>
      </c>
      <c r="J32" s="226" t="s">
        <v>434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541</v>
      </c>
      <c r="C33" s="224" t="s">
        <v>287</v>
      </c>
      <c r="D33" s="233" t="s">
        <v>466</v>
      </c>
      <c r="E33" s="230" t="s">
        <v>562</v>
      </c>
      <c r="F33" s="222" t="s">
        <v>60</v>
      </c>
      <c r="G33" s="223" t="s">
        <v>501</v>
      </c>
      <c r="H33" s="222" t="s">
        <v>44</v>
      </c>
      <c r="I33" s="242">
        <v>0.35099999999999998</v>
      </c>
      <c r="J33" s="226" t="s">
        <v>434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542</v>
      </c>
      <c r="C34" s="224" t="s">
        <v>287</v>
      </c>
      <c r="D34" s="233" t="s">
        <v>194</v>
      </c>
      <c r="E34" s="230" t="s">
        <v>72</v>
      </c>
      <c r="F34" s="222" t="s">
        <v>54</v>
      </c>
      <c r="G34" s="223" t="s">
        <v>502</v>
      </c>
      <c r="H34" s="222" t="s">
        <v>44</v>
      </c>
      <c r="I34" s="242">
        <v>0.26200000000000001</v>
      </c>
      <c r="J34" s="226" t="s">
        <v>327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170" customFormat="1">
      <c r="A35" s="206">
        <v>33</v>
      </c>
      <c r="B35" s="224" t="s">
        <v>543</v>
      </c>
      <c r="C35" s="224" t="s">
        <v>287</v>
      </c>
      <c r="D35" s="233" t="s">
        <v>467</v>
      </c>
      <c r="E35" s="243" t="s">
        <v>563</v>
      </c>
      <c r="F35" s="224" t="s">
        <v>59</v>
      </c>
      <c r="G35" s="223" t="s">
        <v>503</v>
      </c>
      <c r="H35" s="222" t="s">
        <v>204</v>
      </c>
      <c r="I35" s="242">
        <v>0.159</v>
      </c>
      <c r="J35" s="226" t="s">
        <v>440</v>
      </c>
      <c r="K35" s="281">
        <v>354045</v>
      </c>
      <c r="L35" s="228">
        <v>194724.75000000003</v>
      </c>
      <c r="M35" s="220">
        <f t="shared" si="0"/>
        <v>159320.24999999997</v>
      </c>
      <c r="N35" s="229">
        <v>0.55000000000000004</v>
      </c>
      <c r="O35" s="247"/>
      <c r="P35" s="247"/>
      <c r="Q35" s="298"/>
      <c r="R35" s="298"/>
      <c r="S35" s="298">
        <v>194724.75000000003</v>
      </c>
      <c r="T35" s="298">
        <v>0</v>
      </c>
      <c r="U35" s="298">
        <v>0</v>
      </c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544</v>
      </c>
      <c r="C36" s="206" t="s">
        <v>147</v>
      </c>
      <c r="D36" s="218" t="s">
        <v>468</v>
      </c>
      <c r="E36" s="259">
        <v>2408052</v>
      </c>
      <c r="F36" s="206" t="s">
        <v>46</v>
      </c>
      <c r="G36" s="207" t="s">
        <v>504</v>
      </c>
      <c r="H36" s="205" t="s">
        <v>44</v>
      </c>
      <c r="I36" s="214">
        <v>0.998</v>
      </c>
      <c r="J36" s="215" t="s">
        <v>452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545</v>
      </c>
      <c r="C37" s="224" t="s">
        <v>287</v>
      </c>
      <c r="D37" s="233" t="s">
        <v>469</v>
      </c>
      <c r="E37" s="243">
        <v>2403122</v>
      </c>
      <c r="F37" s="224" t="s">
        <v>56</v>
      </c>
      <c r="G37" s="223" t="s">
        <v>505</v>
      </c>
      <c r="H37" s="222" t="s">
        <v>44</v>
      </c>
      <c r="I37" s="242">
        <v>0.43</v>
      </c>
      <c r="J37" s="226" t="s">
        <v>440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50" customFormat="1" ht="22.5">
      <c r="A38" s="206">
        <v>36</v>
      </c>
      <c r="B38" s="206" t="s">
        <v>546</v>
      </c>
      <c r="C38" s="206" t="s">
        <v>147</v>
      </c>
      <c r="D38" s="330" t="s">
        <v>337</v>
      </c>
      <c r="E38" s="259" t="s">
        <v>419</v>
      </c>
      <c r="F38" s="206" t="s">
        <v>50</v>
      </c>
      <c r="G38" s="207" t="s">
        <v>506</v>
      </c>
      <c r="H38" s="205" t="s">
        <v>44</v>
      </c>
      <c r="I38" s="214">
        <v>0.34599999999999997</v>
      </c>
      <c r="J38" s="215" t="s">
        <v>574</v>
      </c>
      <c r="K38" s="348">
        <v>1586651</v>
      </c>
      <c r="L38" s="216">
        <v>793325.5</v>
      </c>
      <c r="M38" s="210">
        <f t="shared" si="0"/>
        <v>793325.5</v>
      </c>
      <c r="N38" s="211">
        <v>0.5</v>
      </c>
      <c r="O38" s="244"/>
      <c r="P38" s="244"/>
      <c r="Q38" s="258"/>
      <c r="R38" s="258"/>
      <c r="S38" s="258">
        <v>10000</v>
      </c>
      <c r="T38" s="258">
        <v>47000</v>
      </c>
      <c r="U38" s="258">
        <v>736325.5</v>
      </c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547</v>
      </c>
      <c r="C39" s="224" t="s">
        <v>287</v>
      </c>
      <c r="D39" s="233" t="s">
        <v>470</v>
      </c>
      <c r="E39" s="243" t="s">
        <v>564</v>
      </c>
      <c r="F39" s="224" t="s">
        <v>54</v>
      </c>
      <c r="G39" s="223" t="s">
        <v>507</v>
      </c>
      <c r="H39" s="222" t="s">
        <v>43</v>
      </c>
      <c r="I39" s="242">
        <v>0.25</v>
      </c>
      <c r="J39" s="226" t="s">
        <v>327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548</v>
      </c>
      <c r="C40" s="206" t="s">
        <v>147</v>
      </c>
      <c r="D40" s="207" t="s">
        <v>338</v>
      </c>
      <c r="E40" s="259" t="s">
        <v>420</v>
      </c>
      <c r="F40" s="206" t="s">
        <v>62</v>
      </c>
      <c r="G40" s="207" t="s">
        <v>508</v>
      </c>
      <c r="H40" s="205" t="s">
        <v>44</v>
      </c>
      <c r="I40" s="214">
        <v>0.307</v>
      </c>
      <c r="J40" s="215" t="s">
        <v>436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170" customFormat="1" ht="34.5" thickBot="1">
      <c r="A41" s="206">
        <v>39</v>
      </c>
      <c r="B41" s="224" t="s">
        <v>549</v>
      </c>
      <c r="C41" s="224" t="s">
        <v>287</v>
      </c>
      <c r="D41" s="233" t="s">
        <v>299</v>
      </c>
      <c r="E41" s="243" t="s">
        <v>565</v>
      </c>
      <c r="F41" s="224" t="s">
        <v>65</v>
      </c>
      <c r="G41" s="223" t="s">
        <v>509</v>
      </c>
      <c r="H41" s="222" t="s">
        <v>204</v>
      </c>
      <c r="I41" s="242">
        <v>0.80400000000000005</v>
      </c>
      <c r="J41" s="226" t="s">
        <v>328</v>
      </c>
      <c r="K41" s="281">
        <v>1645127</v>
      </c>
      <c r="L41" s="228">
        <v>822563.5</v>
      </c>
      <c r="M41" s="220">
        <f t="shared" si="0"/>
        <v>822563.5</v>
      </c>
      <c r="N41" s="229">
        <v>0.5</v>
      </c>
      <c r="O41" s="247"/>
      <c r="P41" s="247"/>
      <c r="Q41" s="298"/>
      <c r="R41" s="298"/>
      <c r="S41" s="298">
        <v>822563.5</v>
      </c>
      <c r="T41" s="298">
        <v>0</v>
      </c>
      <c r="U41" s="298">
        <v>0</v>
      </c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550</v>
      </c>
      <c r="C42" s="333" t="s">
        <v>287</v>
      </c>
      <c r="D42" s="233" t="s">
        <v>459</v>
      </c>
      <c r="E42" s="230" t="s">
        <v>566</v>
      </c>
      <c r="F42" s="222" t="s">
        <v>51</v>
      </c>
      <c r="G42" s="223" t="s">
        <v>510</v>
      </c>
      <c r="H42" s="222" t="s">
        <v>44</v>
      </c>
      <c r="I42" s="242">
        <v>0.43</v>
      </c>
      <c r="J42" s="226" t="s">
        <v>291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24" t="s">
        <v>41</v>
      </c>
      <c r="B43" s="425"/>
      <c r="C43" s="425"/>
      <c r="D43" s="425"/>
      <c r="E43" s="425"/>
      <c r="F43" s="425"/>
      <c r="G43" s="425"/>
      <c r="H43" s="426"/>
      <c r="I43" s="235">
        <f>SUM(I3:I42)</f>
        <v>15.664999999999999</v>
      </c>
      <c r="J43" s="382" t="s">
        <v>14</v>
      </c>
      <c r="K43" s="285">
        <f>SUM(K3:K42)</f>
        <v>61388558</v>
      </c>
      <c r="L43" s="285">
        <f>SUM(L3:L42)</f>
        <v>30895223.449999999</v>
      </c>
      <c r="M43" s="285">
        <f>SUM(M3:M42)</f>
        <v>30493334.550000001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19743523.449999999</v>
      </c>
      <c r="T43" s="220">
        <f t="shared" si="1"/>
        <v>8632107.5</v>
      </c>
      <c r="U43" s="220">
        <f t="shared" si="1"/>
        <v>2519592.5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0.50329999999999997</v>
      </c>
      <c r="AA43" s="308"/>
      <c r="AB43" s="308" t="b">
        <f>K43=L43+M43</f>
        <v>1</v>
      </c>
    </row>
    <row r="44" spans="1:35" s="309" customFormat="1" ht="20.100000000000001" customHeight="1">
      <c r="A44" s="424" t="s">
        <v>35</v>
      </c>
      <c r="B44" s="425"/>
      <c r="C44" s="425"/>
      <c r="D44" s="425"/>
      <c r="E44" s="425"/>
      <c r="F44" s="425"/>
      <c r="G44" s="425"/>
      <c r="H44" s="426"/>
      <c r="I44" s="235">
        <f>SUMIF($C$3:$C$42,"N",I3:I42)</f>
        <v>8.4819999999999975</v>
      </c>
      <c r="J44" s="382" t="s">
        <v>14</v>
      </c>
      <c r="K44" s="285">
        <f>SUMIF($C$3:$C$42,"N",K3:K42)</f>
        <v>27375071</v>
      </c>
      <c r="L44" s="285">
        <f>SUMIF($C$3:$C$42,"N",L3:L42)</f>
        <v>13888479.949999999</v>
      </c>
      <c r="M44" s="285">
        <f>SUMIF($C$3:$C$42,"N",M3:M42)</f>
        <v>13486591.050000001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13888479.949999999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0.50729999999999997</v>
      </c>
      <c r="AA44" s="308"/>
      <c r="AB44" s="308" t="b">
        <f>K44=L44+M44</f>
        <v>1</v>
      </c>
    </row>
    <row r="45" spans="1:35" s="309" customFormat="1" ht="20.100000000000001" customHeight="1">
      <c r="A45" s="424" t="s">
        <v>36</v>
      </c>
      <c r="B45" s="425"/>
      <c r="C45" s="425"/>
      <c r="D45" s="425"/>
      <c r="E45" s="425"/>
      <c r="F45" s="425"/>
      <c r="G45" s="425"/>
      <c r="H45" s="426"/>
      <c r="I45" s="235">
        <f>SUMIF($C$3:$C$42,"W",I3:I42)</f>
        <v>7.1830000000000007</v>
      </c>
      <c r="J45" s="382" t="s">
        <v>14</v>
      </c>
      <c r="K45" s="285">
        <f>SUMIF($C$3:$C$42,"W",K3:K42)</f>
        <v>34013487</v>
      </c>
      <c r="L45" s="285">
        <f>SUMIF($C$3:$C$42,"W",L3:L42)</f>
        <v>17006743.5</v>
      </c>
      <c r="M45" s="285">
        <f>SUMIF($C$3:$C$42,"W",M3:M42)</f>
        <v>17006743.5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5855043.5</v>
      </c>
      <c r="T45" s="220">
        <f t="shared" si="3"/>
        <v>8632107.5</v>
      </c>
      <c r="U45" s="220">
        <f t="shared" si="3"/>
        <v>2519592.5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36" t="s">
        <v>23</v>
      </c>
      <c r="B47" s="439"/>
      <c r="C47" s="439"/>
      <c r="D47" s="439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36" t="s">
        <v>22</v>
      </c>
      <c r="B48" s="437"/>
      <c r="C48" s="437"/>
      <c r="D48" s="437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36" t="s">
        <v>32</v>
      </c>
      <c r="B49" s="438"/>
      <c r="C49" s="438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anderkoa</cp:lastModifiedBy>
  <cp:lastPrinted>2023-05-30T12:40:19Z</cp:lastPrinted>
  <dcterms:created xsi:type="dcterms:W3CDTF">2019-02-25T10:53:14Z</dcterms:created>
  <dcterms:modified xsi:type="dcterms:W3CDTF">2023-10-06T08:46:03Z</dcterms:modified>
</cp:coreProperties>
</file>