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2"/>
  <workbookPr/>
  <mc:AlternateContent xmlns:mc="http://schemas.openxmlformats.org/markup-compatibility/2006">
    <mc:Choice Requires="x15">
      <x15ac:absPath xmlns:x15ac="http://schemas.microsoft.com/office/spreadsheetml/2010/11/ac" url="D:\paliswitj\Desktop\"/>
    </mc:Choice>
  </mc:AlternateContent>
  <xr:revisionPtr revIDLastSave="0" documentId="8_{B6A44535-81D4-4DA8-83E2-F73508AFBABF}" xr6:coauthVersionLast="36" xr6:coauthVersionMax="36" xr10:uidLastSave="{00000000-0000-0000-0000-000000000000}"/>
  <bookViews>
    <workbookView xWindow="0" yWindow="0" windowWidth="19440" windowHeight="12030" xr2:uid="{00000000-000D-0000-FFFF-FFFF00000000}"/>
  </bookViews>
  <sheets>
    <sheet name="TERC - &quot;nazwa woj&quot;" sheetId="7" r:id="rId1"/>
    <sheet name="pow podst" sheetId="3" r:id="rId2"/>
    <sheet name="gm podst" sheetId="5" r:id="rId3"/>
    <sheet name="pow rez" sheetId="4" r:id="rId4"/>
    <sheet name="gm rez" sheetId="6" r:id="rId5"/>
  </sheets>
  <definedNames>
    <definedName name="_xlnm._FilterDatabase" localSheetId="2" hidden="1">'gm podst'!$A$2:$DI$122</definedName>
    <definedName name="_xlnm._FilterDatabase" localSheetId="1" hidden="1">'pow podst'!$A$2:$AC$45</definedName>
    <definedName name="_xlnm.Print_Area" localSheetId="2">'gm podst'!$A$1:$Z$127</definedName>
    <definedName name="_xlnm.Print_Area" localSheetId="4">'gm rez'!$A$1:$Z$12</definedName>
    <definedName name="_xlnm.Print_Area" localSheetId="1">'pow podst'!$A$1:$Y$50</definedName>
    <definedName name="_xlnm.Print_Area" localSheetId="3">'pow rez'!$A$1:$Y$12</definedName>
    <definedName name="_xlnm.Print_Area" localSheetId="0">'TERC - "nazwa woj"'!$A$1:$Q$41</definedName>
    <definedName name="_xlnm.Print_Titles" localSheetId="2">'gm podst'!$1:$2</definedName>
    <definedName name="_xlnm.Print_Titles" localSheetId="4">'gm rez'!$1:$2</definedName>
    <definedName name="_xlnm.Print_Titles" localSheetId="1">'pow podst'!$1:$2</definedName>
    <definedName name="_xlnm.Print_Titles" localSheetId="3">'pow rez'!$1:$2</definedName>
  </definedNames>
  <calcPr calcId="191029"/>
</workbook>
</file>

<file path=xl/calcChain.xml><?xml version="1.0" encoding="utf-8"?>
<calcChain xmlns="http://schemas.openxmlformats.org/spreadsheetml/2006/main">
  <c r="AC18" i="3" l="1"/>
  <c r="AA18" i="3"/>
  <c r="AB18" i="3" s="1"/>
  <c r="Z18" i="3"/>
  <c r="K56" i="5"/>
  <c r="T95" i="5" l="1"/>
  <c r="S29" i="3"/>
  <c r="L29" i="3"/>
  <c r="L36" i="5" l="1"/>
  <c r="J22" i="3" l="1"/>
  <c r="K103" i="5" l="1"/>
  <c r="K102" i="5"/>
  <c r="K64" i="5"/>
  <c r="K61" i="5"/>
  <c r="K60" i="5"/>
  <c r="J36" i="3" l="1"/>
  <c r="J35" i="3"/>
  <c r="T118" i="5" l="1"/>
  <c r="T111" i="5"/>
  <c r="T105" i="5"/>
  <c r="T99" i="5"/>
  <c r="T79" i="5"/>
  <c r="T72" i="5"/>
  <c r="T30" i="5"/>
  <c r="M114" i="5" l="1"/>
  <c r="K41" i="3" l="1"/>
  <c r="L108" i="5"/>
  <c r="K86" i="5" l="1"/>
  <c r="M54" i="5" l="1"/>
  <c r="K28" i="5"/>
  <c r="T54" i="5" l="1"/>
  <c r="U26" i="3" l="1"/>
  <c r="K112" i="5" l="1"/>
  <c r="U42" i="5" l="1"/>
  <c r="S12" i="3" l="1"/>
  <c r="L23" i="5" l="1"/>
  <c r="K23" i="5" s="1"/>
  <c r="K21" i="5"/>
  <c r="J9" i="3" l="1"/>
  <c r="AA27" i="5" l="1"/>
  <c r="AB27" i="5"/>
  <c r="AC27" i="5" s="1"/>
  <c r="AD27" i="5"/>
  <c r="L19" i="5" l="1"/>
  <c r="M19" i="5" s="1"/>
  <c r="L13" i="5"/>
  <c r="M13" i="5" s="1"/>
  <c r="K10" i="3"/>
  <c r="L10" i="3" s="1"/>
  <c r="L14" i="5"/>
  <c r="M14" i="5" s="1"/>
  <c r="L11" i="5" l="1"/>
  <c r="K11" i="5" s="1"/>
  <c r="K12" i="3" l="1"/>
  <c r="L12" i="3" s="1"/>
  <c r="L25" i="5"/>
  <c r="M25" i="5" s="1"/>
  <c r="L24" i="5"/>
  <c r="M24" i="5" s="1"/>
  <c r="T81" i="5" l="1"/>
  <c r="M118" i="5"/>
  <c r="L113" i="5"/>
  <c r="M113" i="5" s="1"/>
  <c r="M108" i="5"/>
  <c r="L96" i="5"/>
  <c r="L87" i="5"/>
  <c r="M87" i="5" s="1"/>
  <c r="M82" i="5"/>
  <c r="L81" i="5"/>
  <c r="M81" i="5" s="1"/>
  <c r="L75" i="5"/>
  <c r="M75" i="5" s="1"/>
  <c r="L69" i="5"/>
  <c r="M69" i="5" s="1"/>
  <c r="M68" i="5"/>
  <c r="L41" i="3"/>
  <c r="K28" i="3"/>
  <c r="L28" i="3" s="1"/>
  <c r="K20" i="3"/>
  <c r="K16" i="3"/>
  <c r="L16" i="3" s="1"/>
  <c r="M96" i="5" l="1"/>
  <c r="T96" i="5"/>
  <c r="AD26" i="5"/>
  <c r="AB26" i="5"/>
  <c r="AC26" i="5" s="1"/>
  <c r="AA26" i="5"/>
  <c r="L42" i="5" l="1"/>
  <c r="L43" i="5"/>
  <c r="L48" i="5"/>
  <c r="L51" i="5"/>
  <c r="L53" i="5"/>
  <c r="K53" i="5" s="1"/>
  <c r="L58" i="5"/>
  <c r="L65" i="5"/>
  <c r="K23" i="3"/>
  <c r="K25" i="3"/>
  <c r="K27" i="3"/>
  <c r="J27" i="3" s="1"/>
  <c r="K32" i="3"/>
  <c r="L85" i="5"/>
  <c r="K26" i="3" l="1"/>
  <c r="AA5" i="5" l="1"/>
  <c r="AB5" i="5"/>
  <c r="AC5" i="5" s="1"/>
  <c r="AD5" i="5"/>
  <c r="AA6" i="5"/>
  <c r="AB6" i="5"/>
  <c r="AC6" i="5" s="1"/>
  <c r="AD6" i="5"/>
  <c r="AA7" i="5"/>
  <c r="AB7" i="5"/>
  <c r="AC7" i="5" s="1"/>
  <c r="AD7" i="5"/>
  <c r="AA8" i="5"/>
  <c r="AB8" i="5"/>
  <c r="AC8" i="5" s="1"/>
  <c r="AD8" i="5"/>
  <c r="AA9" i="5"/>
  <c r="AB9" i="5"/>
  <c r="AC9" i="5" s="1"/>
  <c r="AD9" i="5"/>
  <c r="AA10" i="5"/>
  <c r="AB10" i="5"/>
  <c r="AC10" i="5" s="1"/>
  <c r="AD10" i="5"/>
  <c r="AA11" i="5"/>
  <c r="AB11" i="5"/>
  <c r="AC11" i="5" s="1"/>
  <c r="AD11" i="5"/>
  <c r="AA12" i="5"/>
  <c r="AB12" i="5"/>
  <c r="AC12" i="5" s="1"/>
  <c r="AD12" i="5"/>
  <c r="AA13" i="5"/>
  <c r="AB13" i="5"/>
  <c r="AC13" i="5" s="1"/>
  <c r="AD13" i="5"/>
  <c r="AA14" i="5"/>
  <c r="AB14" i="5"/>
  <c r="AC14" i="5" s="1"/>
  <c r="AD14" i="5"/>
  <c r="AA15" i="5"/>
  <c r="AB15" i="5"/>
  <c r="AC15" i="5" s="1"/>
  <c r="AD15" i="5"/>
  <c r="AA16" i="5"/>
  <c r="AB16" i="5"/>
  <c r="AC16" i="5" s="1"/>
  <c r="AD16" i="5"/>
  <c r="AA17" i="5"/>
  <c r="AB17" i="5"/>
  <c r="AC17" i="5" s="1"/>
  <c r="AD17" i="5"/>
  <c r="AA18" i="5"/>
  <c r="AB18" i="5"/>
  <c r="AC18" i="5" s="1"/>
  <c r="AD18" i="5"/>
  <c r="AA19" i="5"/>
  <c r="AB19" i="5"/>
  <c r="AC19" i="5" s="1"/>
  <c r="AD19" i="5"/>
  <c r="AA20" i="5"/>
  <c r="AB20" i="5"/>
  <c r="AC20" i="5" s="1"/>
  <c r="AD20" i="5"/>
  <c r="AA21" i="5"/>
  <c r="AB21" i="5"/>
  <c r="AC21" i="5" s="1"/>
  <c r="AD21" i="5"/>
  <c r="AA22" i="5"/>
  <c r="AB22" i="5"/>
  <c r="AC22" i="5" s="1"/>
  <c r="AD22" i="5"/>
  <c r="AA23" i="5"/>
  <c r="AB23" i="5"/>
  <c r="AC23" i="5" s="1"/>
  <c r="AD23" i="5"/>
  <c r="AA24" i="5"/>
  <c r="AB24" i="5"/>
  <c r="AC24" i="5" s="1"/>
  <c r="AD24" i="5"/>
  <c r="AA25" i="5"/>
  <c r="AB25" i="5"/>
  <c r="AC25" i="5" s="1"/>
  <c r="AD25" i="5"/>
  <c r="AA28" i="5"/>
  <c r="AB28" i="5"/>
  <c r="AC28" i="5" s="1"/>
  <c r="AA29" i="5"/>
  <c r="AB29" i="5"/>
  <c r="AC29" i="5" s="1"/>
  <c r="AA30" i="5"/>
  <c r="AB30" i="5"/>
  <c r="AC30" i="5" s="1"/>
  <c r="AA31" i="5"/>
  <c r="AB31" i="5"/>
  <c r="AC31" i="5" s="1"/>
  <c r="AA32" i="5"/>
  <c r="AB32" i="5"/>
  <c r="AC32" i="5" s="1"/>
  <c r="AA33" i="5"/>
  <c r="AB33" i="5"/>
  <c r="AC33" i="5" s="1"/>
  <c r="AA34" i="5"/>
  <c r="AB34" i="5"/>
  <c r="AC34" i="5" s="1"/>
  <c r="AA35" i="5"/>
  <c r="AB35" i="5"/>
  <c r="AC35" i="5" s="1"/>
  <c r="AA36" i="5"/>
  <c r="AB36" i="5"/>
  <c r="AC36" i="5" s="1"/>
  <c r="AA37" i="5"/>
  <c r="AB37" i="5"/>
  <c r="AC37" i="5" s="1"/>
  <c r="AA38" i="5"/>
  <c r="AB38" i="5"/>
  <c r="AC38" i="5" s="1"/>
  <c r="AA39" i="5"/>
  <c r="AB39" i="5"/>
  <c r="AC39" i="5" s="1"/>
  <c r="AA40" i="5"/>
  <c r="AB40" i="5"/>
  <c r="AC40" i="5" s="1"/>
  <c r="AA41" i="5"/>
  <c r="AB41" i="5"/>
  <c r="AC41" i="5" s="1"/>
  <c r="AA42" i="5"/>
  <c r="AB42" i="5"/>
  <c r="AC42" i="5" s="1"/>
  <c r="AA43" i="5"/>
  <c r="AB43" i="5"/>
  <c r="AC43" i="5" s="1"/>
  <c r="AA44" i="5"/>
  <c r="AB44" i="5"/>
  <c r="AC44" i="5" s="1"/>
  <c r="AA45" i="5"/>
  <c r="AB45" i="5"/>
  <c r="AC45" i="5" s="1"/>
  <c r="AA46" i="5"/>
  <c r="AB46" i="5"/>
  <c r="AC46" i="5" s="1"/>
  <c r="AA47" i="5"/>
  <c r="AB47" i="5"/>
  <c r="AC47" i="5" s="1"/>
  <c r="AA48" i="5"/>
  <c r="AB48" i="5"/>
  <c r="AC48" i="5" s="1"/>
  <c r="AA49" i="5"/>
  <c r="AB49" i="5"/>
  <c r="AC49" i="5" s="1"/>
  <c r="AA50" i="5"/>
  <c r="AB50" i="5"/>
  <c r="AC50" i="5" s="1"/>
  <c r="AA51" i="5"/>
  <c r="AB51" i="5"/>
  <c r="AC51" i="5" s="1"/>
  <c r="AA52" i="5"/>
  <c r="AB52" i="5"/>
  <c r="AC52" i="5" s="1"/>
  <c r="AA53" i="5"/>
  <c r="AB53" i="5"/>
  <c r="AC53" i="5" s="1"/>
  <c r="AA54" i="5"/>
  <c r="AB54" i="5"/>
  <c r="AC54" i="5" s="1"/>
  <c r="AA55" i="5"/>
  <c r="AB55" i="5"/>
  <c r="AC55" i="5" s="1"/>
  <c r="AA56" i="5"/>
  <c r="AB56" i="5"/>
  <c r="AC56" i="5" s="1"/>
  <c r="AA57" i="5"/>
  <c r="AB57" i="5"/>
  <c r="AC57" i="5" s="1"/>
  <c r="AA58" i="5"/>
  <c r="AB58" i="5"/>
  <c r="AC58" i="5" s="1"/>
  <c r="AA59" i="5"/>
  <c r="AB59" i="5"/>
  <c r="AC59" i="5" s="1"/>
  <c r="AA60" i="5"/>
  <c r="AB60" i="5"/>
  <c r="AC60" i="5" s="1"/>
  <c r="AA61" i="5"/>
  <c r="AB61" i="5"/>
  <c r="AC61" i="5" s="1"/>
  <c r="AA62" i="5"/>
  <c r="AB62" i="5"/>
  <c r="AC62" i="5" s="1"/>
  <c r="AA63" i="5"/>
  <c r="AB63" i="5"/>
  <c r="AC63" i="5" s="1"/>
  <c r="AA64" i="5"/>
  <c r="AB64" i="5"/>
  <c r="AC64" i="5" s="1"/>
  <c r="AA65" i="5"/>
  <c r="AB65" i="5"/>
  <c r="AC65" i="5" s="1"/>
  <c r="AA66" i="5"/>
  <c r="AB66" i="5"/>
  <c r="AC66" i="5" s="1"/>
  <c r="AA67" i="5"/>
  <c r="AB67" i="5"/>
  <c r="AC67" i="5" s="1"/>
  <c r="AA68" i="5"/>
  <c r="AB68" i="5"/>
  <c r="AC68" i="5" s="1"/>
  <c r="AA69" i="5"/>
  <c r="AB69" i="5"/>
  <c r="AC69" i="5" s="1"/>
  <c r="AA70" i="5"/>
  <c r="AB70" i="5"/>
  <c r="AC70" i="5" s="1"/>
  <c r="AA71" i="5"/>
  <c r="AB71" i="5"/>
  <c r="AC71" i="5" s="1"/>
  <c r="AA72" i="5"/>
  <c r="AB72" i="5"/>
  <c r="AC72" i="5" s="1"/>
  <c r="AA73" i="5"/>
  <c r="AB73" i="5"/>
  <c r="AC73" i="5" s="1"/>
  <c r="AA74" i="5"/>
  <c r="AB74" i="5"/>
  <c r="AC74" i="5" s="1"/>
  <c r="AA75" i="5"/>
  <c r="AB75" i="5"/>
  <c r="AC75" i="5" s="1"/>
  <c r="AA76" i="5"/>
  <c r="AB76" i="5"/>
  <c r="AC76" i="5" s="1"/>
  <c r="AA77" i="5"/>
  <c r="AB77" i="5"/>
  <c r="AC77" i="5" s="1"/>
  <c r="AA78" i="5"/>
  <c r="AB78" i="5"/>
  <c r="AC78" i="5" s="1"/>
  <c r="AA79" i="5"/>
  <c r="AB79" i="5"/>
  <c r="AC79" i="5" s="1"/>
  <c r="AA80" i="5"/>
  <c r="AB80" i="5"/>
  <c r="AC80" i="5" s="1"/>
  <c r="AA81" i="5"/>
  <c r="AB81" i="5"/>
  <c r="AC81" i="5" s="1"/>
  <c r="AA82" i="5"/>
  <c r="AB82" i="5"/>
  <c r="AC82" i="5" s="1"/>
  <c r="AA83" i="5"/>
  <c r="AB83" i="5"/>
  <c r="AC83" i="5" s="1"/>
  <c r="AA84" i="5"/>
  <c r="AB84" i="5"/>
  <c r="AC84" i="5" s="1"/>
  <c r="AA85" i="5"/>
  <c r="AB85" i="5"/>
  <c r="AC85" i="5" s="1"/>
  <c r="AA87" i="5"/>
  <c r="AB87" i="5"/>
  <c r="AC87" i="5" s="1"/>
  <c r="AA88" i="5"/>
  <c r="AB88" i="5"/>
  <c r="AC88" i="5" s="1"/>
  <c r="AA89" i="5"/>
  <c r="AB89" i="5"/>
  <c r="AC89" i="5" s="1"/>
  <c r="AA90" i="5"/>
  <c r="AB90" i="5"/>
  <c r="AC90" i="5" s="1"/>
  <c r="AA91" i="5"/>
  <c r="AB91" i="5"/>
  <c r="AC91" i="5" s="1"/>
  <c r="AA92" i="5"/>
  <c r="AB92" i="5"/>
  <c r="AC92" i="5" s="1"/>
  <c r="AA93" i="5"/>
  <c r="AB93" i="5"/>
  <c r="AC93" i="5" s="1"/>
  <c r="AA94" i="5"/>
  <c r="AB94" i="5"/>
  <c r="AC94" i="5" s="1"/>
  <c r="AA95" i="5"/>
  <c r="AB95" i="5"/>
  <c r="AC95" i="5" s="1"/>
  <c r="AA96" i="5"/>
  <c r="AB96" i="5"/>
  <c r="AC96" i="5" s="1"/>
  <c r="AA97" i="5"/>
  <c r="AB97" i="5"/>
  <c r="AC97" i="5" s="1"/>
  <c r="AA98" i="5"/>
  <c r="AB98" i="5"/>
  <c r="AC98" i="5" s="1"/>
  <c r="AA99" i="5"/>
  <c r="AB99" i="5"/>
  <c r="AC99" i="5" s="1"/>
  <c r="AA100" i="5"/>
  <c r="AB100" i="5"/>
  <c r="AC100" i="5" s="1"/>
  <c r="AA101" i="5"/>
  <c r="AB101" i="5"/>
  <c r="AC101" i="5" s="1"/>
  <c r="AA102" i="5"/>
  <c r="AB102" i="5"/>
  <c r="AC102" i="5" s="1"/>
  <c r="AA103" i="5"/>
  <c r="AB103" i="5"/>
  <c r="AC103" i="5" s="1"/>
  <c r="AA104" i="5"/>
  <c r="AB104" i="5"/>
  <c r="AC104" i="5" s="1"/>
  <c r="AA106" i="5"/>
  <c r="AB106" i="5"/>
  <c r="AC106" i="5" s="1"/>
  <c r="AA107" i="5"/>
  <c r="AB107" i="5"/>
  <c r="AC107" i="5" s="1"/>
  <c r="AA108" i="5"/>
  <c r="AB108" i="5"/>
  <c r="AC108" i="5" s="1"/>
  <c r="AA109" i="5"/>
  <c r="AB109" i="5"/>
  <c r="AC109" i="5" s="1"/>
  <c r="AA110" i="5"/>
  <c r="AB110" i="5"/>
  <c r="AC110" i="5" s="1"/>
  <c r="AA111" i="5"/>
  <c r="AB111" i="5"/>
  <c r="AC111" i="5" s="1"/>
  <c r="AA112" i="5"/>
  <c r="AB112" i="5"/>
  <c r="AC112" i="5" s="1"/>
  <c r="AA113" i="5"/>
  <c r="AB113" i="5"/>
  <c r="AC113" i="5" s="1"/>
  <c r="AA114" i="5"/>
  <c r="AB114" i="5"/>
  <c r="AC114" i="5" s="1"/>
  <c r="AA115" i="5"/>
  <c r="AB115" i="5"/>
  <c r="AC115" i="5" s="1"/>
  <c r="AA116" i="5"/>
  <c r="AB116" i="5"/>
  <c r="AC116" i="5" s="1"/>
  <c r="AA117" i="5"/>
  <c r="AB117" i="5"/>
  <c r="AC117" i="5" s="1"/>
  <c r="AA118" i="5"/>
  <c r="AB118" i="5"/>
  <c r="AC118" i="5" s="1"/>
  <c r="M29" i="5"/>
  <c r="AD29" i="5" s="1"/>
  <c r="M30" i="5"/>
  <c r="AD30" i="5" s="1"/>
  <c r="M31" i="5"/>
  <c r="AD31" i="5" s="1"/>
  <c r="M32" i="5"/>
  <c r="AD32" i="5" s="1"/>
  <c r="AD33" i="5"/>
  <c r="M34" i="5"/>
  <c r="AD34" i="5" s="1"/>
  <c r="M35" i="5"/>
  <c r="AD35" i="5" s="1"/>
  <c r="M36" i="5"/>
  <c r="AD36" i="5" s="1"/>
  <c r="M37" i="5"/>
  <c r="AD37" i="5" s="1"/>
  <c r="M38" i="5"/>
  <c r="AD38" i="5" s="1"/>
  <c r="M39" i="5"/>
  <c r="AD39" i="5" s="1"/>
  <c r="M40" i="5"/>
  <c r="AD40" i="5" s="1"/>
  <c r="AD41" i="5"/>
  <c r="AD42" i="5"/>
  <c r="M43" i="5"/>
  <c r="AD43" i="5" s="1"/>
  <c r="AD44" i="5"/>
  <c r="AD45" i="5"/>
  <c r="AD46" i="5"/>
  <c r="M47" i="5"/>
  <c r="AD47" i="5" s="1"/>
  <c r="M48" i="5"/>
  <c r="AD48" i="5" s="1"/>
  <c r="M49" i="5"/>
  <c r="AD49" i="5" s="1"/>
  <c r="M50" i="5"/>
  <c r="AD50" i="5" s="1"/>
  <c r="M51" i="5"/>
  <c r="AD51" i="5" s="1"/>
  <c r="M52" i="5"/>
  <c r="AD52" i="5" s="1"/>
  <c r="AD53" i="5"/>
  <c r="AD54" i="5"/>
  <c r="M55" i="5"/>
  <c r="AD55" i="5" s="1"/>
  <c r="AD56" i="5"/>
  <c r="AD57" i="5"/>
  <c r="M58" i="5"/>
  <c r="AD58" i="5" s="1"/>
  <c r="M59" i="5"/>
  <c r="AD59" i="5" s="1"/>
  <c r="AD60" i="5"/>
  <c r="AD61" i="5"/>
  <c r="M62" i="5"/>
  <c r="AD62" i="5" s="1"/>
  <c r="M63" i="5"/>
  <c r="AD63" i="5" s="1"/>
  <c r="AD64" i="5"/>
  <c r="M65" i="5"/>
  <c r="AD65" i="5" s="1"/>
  <c r="AD66" i="5"/>
  <c r="M67" i="5"/>
  <c r="AD67" i="5" s="1"/>
  <c r="AD68" i="5"/>
  <c r="AD69" i="5"/>
  <c r="M70" i="5"/>
  <c r="AD70" i="5" s="1"/>
  <c r="AD71" i="5"/>
  <c r="M72" i="5"/>
  <c r="AD72" i="5" s="1"/>
  <c r="AD73" i="5"/>
  <c r="M74" i="5"/>
  <c r="AD74" i="5" s="1"/>
  <c r="AD75" i="5"/>
  <c r="M76" i="5"/>
  <c r="AD76" i="5" s="1"/>
  <c r="AD77" i="5"/>
  <c r="AD78" i="5"/>
  <c r="AD79" i="5"/>
  <c r="M80" i="5"/>
  <c r="AD80" i="5" s="1"/>
  <c r="AD81" i="5"/>
  <c r="AD82" i="5"/>
  <c r="M83" i="5"/>
  <c r="AD83" i="5" s="1"/>
  <c r="M84" i="5"/>
  <c r="AD84" i="5" s="1"/>
  <c r="M85" i="5"/>
  <c r="AD85" i="5" s="1"/>
  <c r="AD87" i="5"/>
  <c r="M88" i="5"/>
  <c r="AD88" i="5" s="1"/>
  <c r="M89" i="5"/>
  <c r="AD89" i="5" s="1"/>
  <c r="AD90" i="5"/>
  <c r="M91" i="5"/>
  <c r="AD91" i="5" s="1"/>
  <c r="M92" i="5"/>
  <c r="AD92" i="5" s="1"/>
  <c r="AD93" i="5"/>
  <c r="M94" i="5"/>
  <c r="AD94" i="5" s="1"/>
  <c r="M95" i="5"/>
  <c r="AD95" i="5" s="1"/>
  <c r="AD96" i="5"/>
  <c r="AD97" i="5"/>
  <c r="AD98" i="5"/>
  <c r="M99" i="5"/>
  <c r="AD99" i="5" s="1"/>
  <c r="M100" i="5"/>
  <c r="AD100" i="5" s="1"/>
  <c r="M101" i="5"/>
  <c r="AD101" i="5" s="1"/>
  <c r="AD102" i="5"/>
  <c r="AD103" i="5"/>
  <c r="M104" i="5"/>
  <c r="AD104" i="5" s="1"/>
  <c r="M106" i="5"/>
  <c r="AD106" i="5" s="1"/>
  <c r="AD107" i="5"/>
  <c r="AD108" i="5"/>
  <c r="M109" i="5"/>
  <c r="AD109" i="5" s="1"/>
  <c r="AD110" i="5"/>
  <c r="AD111" i="5"/>
  <c r="AD112" i="5"/>
  <c r="AD113" i="5"/>
  <c r="AD114" i="5"/>
  <c r="M115" i="5"/>
  <c r="AD115" i="5" s="1"/>
  <c r="M116" i="5"/>
  <c r="AD116" i="5" s="1"/>
  <c r="M117" i="5"/>
  <c r="AD117" i="5" s="1"/>
  <c r="AD118" i="5"/>
  <c r="AD28" i="5"/>
  <c r="Z13" i="3"/>
  <c r="AA13" i="3"/>
  <c r="AB13" i="3" s="1"/>
  <c r="Z14" i="3"/>
  <c r="AA14" i="3"/>
  <c r="AB14" i="3" s="1"/>
  <c r="Z15" i="3"/>
  <c r="AA15" i="3"/>
  <c r="AB15" i="3" s="1"/>
  <c r="Z16" i="3"/>
  <c r="AA16" i="3"/>
  <c r="AB16" i="3" s="1"/>
  <c r="Z17" i="3"/>
  <c r="AA17" i="3"/>
  <c r="AB17" i="3" s="1"/>
  <c r="Z19" i="3"/>
  <c r="AA19" i="3"/>
  <c r="AB19" i="3" s="1"/>
  <c r="Z20" i="3"/>
  <c r="AA20" i="3"/>
  <c r="AB20" i="3" s="1"/>
  <c r="Z21" i="3"/>
  <c r="AA21" i="3"/>
  <c r="AB21" i="3" s="1"/>
  <c r="Z22" i="3"/>
  <c r="AA22" i="3"/>
  <c r="AB22" i="3" s="1"/>
  <c r="Z23" i="3"/>
  <c r="AA23" i="3"/>
  <c r="AB23" i="3" s="1"/>
  <c r="Z24" i="3"/>
  <c r="AA24" i="3"/>
  <c r="AB24" i="3" s="1"/>
  <c r="Z25" i="3"/>
  <c r="AA25" i="3"/>
  <c r="AB25" i="3" s="1"/>
  <c r="Z26" i="3"/>
  <c r="AA26" i="3"/>
  <c r="AB26" i="3" s="1"/>
  <c r="Z27" i="3"/>
  <c r="AA27" i="3"/>
  <c r="AB27" i="3" s="1"/>
  <c r="Z28" i="3"/>
  <c r="AA28" i="3"/>
  <c r="AB28" i="3" s="1"/>
  <c r="Z29" i="3"/>
  <c r="AA29" i="3"/>
  <c r="AB29" i="3" s="1"/>
  <c r="Z30" i="3"/>
  <c r="AA30" i="3"/>
  <c r="AB30" i="3" s="1"/>
  <c r="Z31" i="3"/>
  <c r="AA31" i="3"/>
  <c r="AB31" i="3" s="1"/>
  <c r="Z32" i="3"/>
  <c r="AA32" i="3"/>
  <c r="AB32" i="3" s="1"/>
  <c r="Z33" i="3"/>
  <c r="AA33" i="3"/>
  <c r="AB33" i="3" s="1"/>
  <c r="Z34" i="3"/>
  <c r="AA34" i="3"/>
  <c r="AB34" i="3" s="1"/>
  <c r="Z35" i="3"/>
  <c r="AA35" i="3"/>
  <c r="AB35" i="3" s="1"/>
  <c r="Z36" i="3"/>
  <c r="AA36" i="3"/>
  <c r="AB36" i="3" s="1"/>
  <c r="Z37" i="3"/>
  <c r="AA37" i="3"/>
  <c r="AB37" i="3" s="1"/>
  <c r="Z38" i="3"/>
  <c r="AA38" i="3"/>
  <c r="AB38" i="3" s="1"/>
  <c r="Z39" i="3"/>
  <c r="AA39" i="3"/>
  <c r="AB39" i="3" s="1"/>
  <c r="Z40" i="3"/>
  <c r="AA40" i="3"/>
  <c r="AB40" i="3" s="1"/>
  <c r="Z3" i="3"/>
  <c r="AA3" i="3"/>
  <c r="AB3" i="3" s="1"/>
  <c r="AC3" i="3"/>
  <c r="Z4" i="3"/>
  <c r="AA4" i="3"/>
  <c r="AB4" i="3" s="1"/>
  <c r="AC4" i="3"/>
  <c r="Z5" i="3"/>
  <c r="AA5" i="3"/>
  <c r="AB5" i="3" s="1"/>
  <c r="AC5" i="3"/>
  <c r="Z6" i="3"/>
  <c r="AA6" i="3"/>
  <c r="AB6" i="3" s="1"/>
  <c r="AC6" i="3"/>
  <c r="Z7" i="3"/>
  <c r="AA7" i="3"/>
  <c r="AB7" i="3" s="1"/>
  <c r="AC7" i="3"/>
  <c r="Z8" i="3"/>
  <c r="AA8" i="3"/>
  <c r="AB8" i="3" s="1"/>
  <c r="AC8" i="3"/>
  <c r="Z9" i="3"/>
  <c r="AA9" i="3"/>
  <c r="AB9" i="3" s="1"/>
  <c r="AC9" i="3"/>
  <c r="Z10" i="3"/>
  <c r="AA10" i="3"/>
  <c r="AB10" i="3" s="1"/>
  <c r="AC10" i="3"/>
  <c r="Z11" i="3"/>
  <c r="AA11" i="3"/>
  <c r="AB11" i="3" s="1"/>
  <c r="AC11" i="3"/>
  <c r="Z12" i="3"/>
  <c r="AA12" i="3"/>
  <c r="AB12" i="3" s="1"/>
  <c r="AC12" i="3"/>
  <c r="L14" i="3"/>
  <c r="AC14" i="3" s="1"/>
  <c r="L15" i="3"/>
  <c r="AC15" i="3" s="1"/>
  <c r="AC16" i="3"/>
  <c r="AC17" i="3"/>
  <c r="AC19" i="3"/>
  <c r="AC20" i="3"/>
  <c r="AC21" i="3"/>
  <c r="AC22" i="3"/>
  <c r="L23" i="3"/>
  <c r="AC23" i="3" s="1"/>
  <c r="L24" i="3"/>
  <c r="AC24" i="3" s="1"/>
  <c r="L25" i="3"/>
  <c r="AC25" i="3" s="1"/>
  <c r="L26" i="3"/>
  <c r="AC26" i="3" s="1"/>
  <c r="AC27" i="3"/>
  <c r="AC28" i="3"/>
  <c r="AC29" i="3"/>
  <c r="AC30" i="3"/>
  <c r="L31" i="3"/>
  <c r="AC31" i="3" s="1"/>
  <c r="L32" i="3"/>
  <c r="AC32" i="3" s="1"/>
  <c r="AC33" i="3"/>
  <c r="AC34" i="3"/>
  <c r="AC35" i="3"/>
  <c r="AC36" i="3"/>
  <c r="L37" i="3"/>
  <c r="AC37" i="3" s="1"/>
  <c r="L38" i="3"/>
  <c r="AC38" i="3" s="1"/>
  <c r="AC39" i="3"/>
  <c r="AC40" i="3"/>
  <c r="L13" i="3"/>
  <c r="AC13" i="3" s="1"/>
  <c r="L42" i="3" l="1"/>
  <c r="H42" i="3"/>
  <c r="J42" i="3"/>
  <c r="K42" i="3"/>
  <c r="N42" i="3"/>
  <c r="O42" i="3"/>
  <c r="P42" i="3"/>
  <c r="Q42" i="3"/>
  <c r="R42" i="3"/>
  <c r="S42" i="3"/>
  <c r="T42" i="3"/>
  <c r="U42" i="3"/>
  <c r="V42" i="3"/>
  <c r="W42" i="3"/>
  <c r="H43" i="3"/>
  <c r="J43" i="3"/>
  <c r="K43" i="3"/>
  <c r="L43" i="3"/>
  <c r="N43" i="3"/>
  <c r="O43" i="3"/>
  <c r="P43" i="3"/>
  <c r="Q43" i="3"/>
  <c r="R43" i="3"/>
  <c r="S43" i="3"/>
  <c r="T43" i="3"/>
  <c r="U43" i="3"/>
  <c r="V43" i="3"/>
  <c r="W43" i="3"/>
  <c r="H44" i="3"/>
  <c r="J44" i="3"/>
  <c r="K44" i="3"/>
  <c r="L44" i="3"/>
  <c r="N44" i="3"/>
  <c r="O44" i="3"/>
  <c r="P44" i="3"/>
  <c r="Q44" i="3"/>
  <c r="R44" i="3"/>
  <c r="S44" i="3"/>
  <c r="T44" i="3"/>
  <c r="U44" i="3"/>
  <c r="V44" i="3"/>
  <c r="W44" i="3"/>
  <c r="H45" i="3"/>
  <c r="J45" i="3"/>
  <c r="K45" i="3"/>
  <c r="L45" i="3"/>
  <c r="N45" i="3"/>
  <c r="O45" i="3"/>
  <c r="P45" i="3"/>
  <c r="Q45" i="3"/>
  <c r="R45" i="3"/>
  <c r="S45" i="3"/>
  <c r="T45" i="3"/>
  <c r="U45" i="3"/>
  <c r="V45" i="3"/>
  <c r="W45" i="3"/>
  <c r="B24" i="7" l="1"/>
  <c r="B23" i="7"/>
  <c r="B20" i="7"/>
  <c r="B18" i="7"/>
  <c r="B22" i="7"/>
  <c r="B19" i="7"/>
  <c r="B32" i="7"/>
  <c r="P17" i="7" l="1"/>
  <c r="Q17" i="7"/>
  <c r="P18" i="7"/>
  <c r="Q18" i="7"/>
  <c r="P19" i="7"/>
  <c r="Q19" i="7"/>
  <c r="P20" i="7"/>
  <c r="Q20" i="7"/>
  <c r="P21" i="7"/>
  <c r="Q21" i="7"/>
  <c r="P22" i="7"/>
  <c r="Q22" i="7"/>
  <c r="P23" i="7"/>
  <c r="Q23" i="7"/>
  <c r="P24" i="7"/>
  <c r="Q24" i="7"/>
  <c r="P29" i="7"/>
  <c r="Q29" i="7"/>
  <c r="P30" i="7"/>
  <c r="Q30" i="7"/>
  <c r="P31" i="7"/>
  <c r="Q31" i="7"/>
  <c r="P32" i="7"/>
  <c r="P35" i="7" s="1"/>
  <c r="Q32" i="7"/>
  <c r="Q35" i="7" s="1"/>
  <c r="P33" i="7"/>
  <c r="Q33" i="7"/>
  <c r="P34" i="7"/>
  <c r="Q34" i="7"/>
  <c r="AA4" i="6"/>
  <c r="AA5" i="6"/>
  <c r="AA3" i="6"/>
  <c r="Z4" i="4"/>
  <c r="Z5" i="4"/>
  <c r="Z3" i="4"/>
  <c r="Z8" i="6"/>
  <c r="Y8" i="6"/>
  <c r="Z7" i="6"/>
  <c r="Y7" i="6"/>
  <c r="Z6" i="6"/>
  <c r="Y6" i="6"/>
  <c r="Y8" i="4"/>
  <c r="X8" i="4"/>
  <c r="Y7" i="4"/>
  <c r="X7" i="4"/>
  <c r="Y6" i="4"/>
  <c r="X6" i="4"/>
  <c r="AA4" i="5"/>
  <c r="AB3" i="5"/>
  <c r="AA3" i="5"/>
  <c r="Z122" i="5"/>
  <c r="Y122" i="5"/>
  <c r="Z121" i="5"/>
  <c r="Y121" i="5"/>
  <c r="Z120" i="5"/>
  <c r="Y120" i="5"/>
  <c r="Z119" i="5"/>
  <c r="Y119" i="5"/>
  <c r="Z41" i="3"/>
  <c r="Y42" i="3"/>
  <c r="Y45" i="3"/>
  <c r="Y44" i="3"/>
  <c r="Y43" i="3"/>
  <c r="X45" i="3"/>
  <c r="X44" i="3"/>
  <c r="X43" i="3"/>
  <c r="X42" i="3"/>
  <c r="Q25" i="7" l="1"/>
  <c r="Q38" i="7" s="1"/>
  <c r="Q49" i="7" s="1"/>
  <c r="Q36" i="7"/>
  <c r="Q47" i="7" s="1"/>
  <c r="Q46" i="7"/>
  <c r="P36" i="7"/>
  <c r="P47" i="7" s="1"/>
  <c r="P46" i="7"/>
  <c r="P25" i="7"/>
  <c r="P38" i="7" s="1"/>
  <c r="P49" i="7" s="1"/>
  <c r="P27" i="7"/>
  <c r="P44" i="7" s="1"/>
  <c r="P26" i="7"/>
  <c r="P39" i="7" s="1"/>
  <c r="Q26" i="7"/>
  <c r="Q39" i="7" s="1"/>
  <c r="Q28" i="7"/>
  <c r="Q45" i="7" s="1"/>
  <c r="Q27" i="7"/>
  <c r="Q44" i="7" s="1"/>
  <c r="Q37" i="7"/>
  <c r="Q48" i="7" s="1"/>
  <c r="P37" i="7"/>
  <c r="P48" i="7" s="1"/>
  <c r="P28" i="7"/>
  <c r="J8" i="4"/>
  <c r="Q42" i="7" l="1"/>
  <c r="P41" i="7"/>
  <c r="P42" i="7"/>
  <c r="P40" i="7"/>
  <c r="P43" i="7"/>
  <c r="Q40" i="7"/>
  <c r="Q41" i="7"/>
  <c r="P45" i="7"/>
  <c r="Q43" i="7"/>
  <c r="B34" i="7"/>
  <c r="B33" i="7"/>
  <c r="B31" i="7"/>
  <c r="B30" i="7"/>
  <c r="O34" i="7"/>
  <c r="N34" i="7"/>
  <c r="M34" i="7"/>
  <c r="L34" i="7"/>
  <c r="K34" i="7"/>
  <c r="J34" i="7"/>
  <c r="I34" i="7"/>
  <c r="H34" i="7"/>
  <c r="G34" i="7"/>
  <c r="F34" i="7"/>
  <c r="E34" i="7"/>
  <c r="D34" i="7"/>
  <c r="O33" i="7"/>
  <c r="N33" i="7"/>
  <c r="M33" i="7"/>
  <c r="L33" i="7"/>
  <c r="K33" i="7"/>
  <c r="J33" i="7"/>
  <c r="I33" i="7"/>
  <c r="H33" i="7"/>
  <c r="G33" i="7"/>
  <c r="F33" i="7"/>
  <c r="E33" i="7"/>
  <c r="D33" i="7"/>
  <c r="C33" i="7"/>
  <c r="O31" i="7"/>
  <c r="N31" i="7"/>
  <c r="M31" i="7"/>
  <c r="L31" i="7"/>
  <c r="K31" i="7"/>
  <c r="J31" i="7"/>
  <c r="I31" i="7"/>
  <c r="H31" i="7"/>
  <c r="G31" i="7"/>
  <c r="F31" i="7"/>
  <c r="E31" i="7"/>
  <c r="D31" i="7"/>
  <c r="O30" i="7"/>
  <c r="N30" i="7"/>
  <c r="M30" i="7"/>
  <c r="L30" i="7"/>
  <c r="K30" i="7"/>
  <c r="J30" i="7"/>
  <c r="I30" i="7"/>
  <c r="H30" i="7"/>
  <c r="G30" i="7"/>
  <c r="F30" i="7"/>
  <c r="E30" i="7"/>
  <c r="D30" i="7"/>
  <c r="C30" i="7"/>
  <c r="O24" i="7"/>
  <c r="N24" i="7"/>
  <c r="M24" i="7"/>
  <c r="L24" i="7"/>
  <c r="K24" i="7"/>
  <c r="J24" i="7"/>
  <c r="I24" i="7"/>
  <c r="H24" i="7"/>
  <c r="G24" i="7"/>
  <c r="F24" i="7"/>
  <c r="E24" i="7"/>
  <c r="D24" i="7"/>
  <c r="O23" i="7"/>
  <c r="N23" i="7"/>
  <c r="M23" i="7"/>
  <c r="L23" i="7"/>
  <c r="K23" i="7"/>
  <c r="J23" i="7"/>
  <c r="I23" i="7"/>
  <c r="H23" i="7"/>
  <c r="G23" i="7"/>
  <c r="F23" i="7"/>
  <c r="O22" i="7"/>
  <c r="N22" i="7"/>
  <c r="M22" i="7"/>
  <c r="L22" i="7"/>
  <c r="K22" i="7"/>
  <c r="J22" i="7"/>
  <c r="I22" i="7"/>
  <c r="H22" i="7"/>
  <c r="G22" i="7"/>
  <c r="F22" i="7"/>
  <c r="E22" i="7"/>
  <c r="D22" i="7"/>
  <c r="O20" i="7"/>
  <c r="O19" i="7"/>
  <c r="N20" i="7"/>
  <c r="N19" i="7"/>
  <c r="M20" i="7"/>
  <c r="M19" i="7"/>
  <c r="L20" i="7"/>
  <c r="L19" i="7"/>
  <c r="K20" i="7"/>
  <c r="K19" i="7"/>
  <c r="J20" i="7"/>
  <c r="J19" i="7"/>
  <c r="I20" i="7"/>
  <c r="I19" i="7"/>
  <c r="H20" i="7"/>
  <c r="H19" i="7"/>
  <c r="G20" i="7"/>
  <c r="G19" i="7"/>
  <c r="F20" i="7"/>
  <c r="F19" i="7"/>
  <c r="E20" i="7"/>
  <c r="E19" i="7"/>
  <c r="D20" i="7"/>
  <c r="D19" i="7"/>
  <c r="O18" i="7"/>
  <c r="N18" i="7"/>
  <c r="M18" i="7"/>
  <c r="L18" i="7"/>
  <c r="K18" i="7"/>
  <c r="J18" i="7"/>
  <c r="I18" i="7"/>
  <c r="H18" i="7"/>
  <c r="G18" i="7"/>
  <c r="F18" i="7"/>
  <c r="E18" i="7"/>
  <c r="D18" i="7"/>
  <c r="C34" i="7"/>
  <c r="C31" i="7"/>
  <c r="C24" i="7"/>
  <c r="C22" i="7"/>
  <c r="S20" i="7" l="1"/>
  <c r="S18" i="7"/>
  <c r="S19" i="7"/>
  <c r="R34" i="7"/>
  <c r="R30" i="7"/>
  <c r="R33" i="7"/>
  <c r="S34" i="7"/>
  <c r="S33" i="7"/>
  <c r="R31" i="7"/>
  <c r="S31" i="7"/>
  <c r="S30" i="7"/>
  <c r="R24" i="7"/>
  <c r="R22" i="7"/>
  <c r="S22" i="7"/>
  <c r="S24" i="7"/>
  <c r="C20" i="7"/>
  <c r="C19" i="7"/>
  <c r="R19" i="7" s="1"/>
  <c r="C18" i="7"/>
  <c r="R20" i="7" l="1"/>
  <c r="R18" i="7"/>
  <c r="O37" i="7"/>
  <c r="O48" i="7" s="1"/>
  <c r="N37" i="7"/>
  <c r="N48" i="7" s="1"/>
  <c r="M37" i="7"/>
  <c r="M48" i="7" s="1"/>
  <c r="L37" i="7"/>
  <c r="L48" i="7" s="1"/>
  <c r="K37" i="7"/>
  <c r="K48" i="7" s="1"/>
  <c r="J37" i="7"/>
  <c r="J48" i="7" s="1"/>
  <c r="I37" i="7"/>
  <c r="I48" i="7" s="1"/>
  <c r="H37" i="7"/>
  <c r="H48" i="7" s="1"/>
  <c r="G37" i="7"/>
  <c r="G48" i="7" s="1"/>
  <c r="F37" i="7"/>
  <c r="F48" i="7" s="1"/>
  <c r="E37" i="7"/>
  <c r="E48" i="7" s="1"/>
  <c r="D37" i="7"/>
  <c r="D48" i="7" s="1"/>
  <c r="C37" i="7"/>
  <c r="C48" i="7" s="1"/>
  <c r="B37" i="7"/>
  <c r="B48" i="7" s="1"/>
  <c r="O36" i="7"/>
  <c r="O47" i="7" s="1"/>
  <c r="N36" i="7"/>
  <c r="N47" i="7" s="1"/>
  <c r="M36" i="7"/>
  <c r="M47" i="7" s="1"/>
  <c r="L36" i="7"/>
  <c r="L47" i="7" s="1"/>
  <c r="K36" i="7"/>
  <c r="K47" i="7" s="1"/>
  <c r="J36" i="7"/>
  <c r="J47" i="7" s="1"/>
  <c r="I36" i="7"/>
  <c r="I47" i="7" s="1"/>
  <c r="H36" i="7"/>
  <c r="H47" i="7" s="1"/>
  <c r="G36" i="7"/>
  <c r="G47" i="7" s="1"/>
  <c r="F36" i="7"/>
  <c r="F47" i="7" s="1"/>
  <c r="E36" i="7"/>
  <c r="E47" i="7" s="1"/>
  <c r="D36" i="7"/>
  <c r="D47" i="7" s="1"/>
  <c r="C36" i="7"/>
  <c r="C47" i="7" s="1"/>
  <c r="B36" i="7"/>
  <c r="B47" i="7" s="1"/>
  <c r="O27" i="7"/>
  <c r="O44" i="7" s="1"/>
  <c r="N27" i="7"/>
  <c r="N44" i="7" s="1"/>
  <c r="M27" i="7"/>
  <c r="M44" i="7" s="1"/>
  <c r="L27" i="7"/>
  <c r="L44" i="7" s="1"/>
  <c r="K27" i="7"/>
  <c r="K44" i="7" s="1"/>
  <c r="J27" i="7"/>
  <c r="J44" i="7" s="1"/>
  <c r="I27" i="7"/>
  <c r="I44" i="7" s="1"/>
  <c r="H27" i="7"/>
  <c r="H44" i="7" s="1"/>
  <c r="G27" i="7"/>
  <c r="G44" i="7" s="1"/>
  <c r="F27" i="7"/>
  <c r="F44" i="7" s="1"/>
  <c r="B27" i="7"/>
  <c r="B44" i="7" s="1"/>
  <c r="O26" i="7"/>
  <c r="N26" i="7"/>
  <c r="M26" i="7"/>
  <c r="L26" i="7"/>
  <c r="K26" i="7"/>
  <c r="J26" i="7"/>
  <c r="I26" i="7"/>
  <c r="H26" i="7"/>
  <c r="G26" i="7"/>
  <c r="F26" i="7"/>
  <c r="E26" i="7"/>
  <c r="D26" i="7"/>
  <c r="C26" i="7"/>
  <c r="C43" i="7" s="1"/>
  <c r="B26" i="7"/>
  <c r="X122" i="5"/>
  <c r="W122" i="5"/>
  <c r="V122" i="5"/>
  <c r="U122" i="5"/>
  <c r="T122" i="5"/>
  <c r="S122" i="5"/>
  <c r="R122" i="5"/>
  <c r="Q122" i="5"/>
  <c r="P122" i="5"/>
  <c r="O122" i="5"/>
  <c r="X121" i="5"/>
  <c r="W121" i="5"/>
  <c r="V121" i="5"/>
  <c r="U121" i="5"/>
  <c r="T121" i="5"/>
  <c r="S121" i="5"/>
  <c r="R121" i="5"/>
  <c r="Q121" i="5"/>
  <c r="P121" i="5"/>
  <c r="O121" i="5"/>
  <c r="X120" i="5"/>
  <c r="W120" i="5"/>
  <c r="V120" i="5"/>
  <c r="U120" i="5"/>
  <c r="T120" i="5"/>
  <c r="S120" i="5"/>
  <c r="R120" i="5"/>
  <c r="Q120" i="5"/>
  <c r="P120" i="5"/>
  <c r="O120" i="5"/>
  <c r="M122" i="5"/>
  <c r="L122" i="5"/>
  <c r="K122" i="5"/>
  <c r="M120" i="5"/>
  <c r="L120" i="5"/>
  <c r="K120" i="5"/>
  <c r="I121" i="5"/>
  <c r="I120" i="5"/>
  <c r="W7" i="4"/>
  <c r="V7" i="4"/>
  <c r="U7" i="4"/>
  <c r="T7" i="4"/>
  <c r="S7" i="4"/>
  <c r="R7" i="4"/>
  <c r="Q7" i="4"/>
  <c r="P7" i="4"/>
  <c r="O7" i="4"/>
  <c r="N7" i="4"/>
  <c r="L7" i="4"/>
  <c r="K7" i="4"/>
  <c r="J7" i="4"/>
  <c r="H7" i="4"/>
  <c r="X7" i="6"/>
  <c r="W7" i="6"/>
  <c r="V7" i="6"/>
  <c r="U7" i="6"/>
  <c r="T7" i="6"/>
  <c r="S7" i="6"/>
  <c r="R7" i="6"/>
  <c r="Q7" i="6"/>
  <c r="P7" i="6"/>
  <c r="O7" i="6"/>
  <c r="M7" i="6"/>
  <c r="L7" i="6"/>
  <c r="K7" i="6"/>
  <c r="I7" i="6"/>
  <c r="Z7" i="4" l="1"/>
  <c r="AA7" i="6"/>
  <c r="AA122" i="5"/>
  <c r="AA120" i="5"/>
  <c r="Z45" i="3"/>
  <c r="Z44" i="3"/>
  <c r="M39" i="7"/>
  <c r="M43" i="7"/>
  <c r="B39" i="7"/>
  <c r="B43" i="7"/>
  <c r="I39" i="7"/>
  <c r="I43" i="7"/>
  <c r="O39" i="7"/>
  <c r="O43" i="7"/>
  <c r="G39" i="7"/>
  <c r="G43" i="7"/>
  <c r="H39" i="7"/>
  <c r="H43" i="7"/>
  <c r="N39" i="7"/>
  <c r="N43" i="7"/>
  <c r="D39" i="7"/>
  <c r="D43" i="7"/>
  <c r="J39" i="7"/>
  <c r="J43" i="7"/>
  <c r="S26" i="7"/>
  <c r="E43" i="7"/>
  <c r="K39" i="7"/>
  <c r="K43" i="7"/>
  <c r="F39" i="7"/>
  <c r="F43" i="7"/>
  <c r="L39" i="7"/>
  <c r="L43" i="7"/>
  <c r="AD7" i="6"/>
  <c r="R37" i="7"/>
  <c r="R36" i="7"/>
  <c r="AA7" i="4"/>
  <c r="S37" i="7"/>
  <c r="S36" i="7"/>
  <c r="C39" i="7"/>
  <c r="R26" i="7"/>
  <c r="E39" i="7"/>
  <c r="M40" i="7"/>
  <c r="H40" i="7"/>
  <c r="AB120" i="5"/>
  <c r="L40" i="7"/>
  <c r="I40" i="7"/>
  <c r="G40" i="7"/>
  <c r="K40" i="7"/>
  <c r="O40" i="7"/>
  <c r="B40" i="7"/>
  <c r="F40" i="7"/>
  <c r="J40" i="7"/>
  <c r="N40" i="7"/>
  <c r="AB7" i="6"/>
  <c r="AC7" i="4"/>
  <c r="AD120" i="5"/>
  <c r="AD3" i="5"/>
  <c r="Z43" i="3"/>
  <c r="S39" i="7" l="1"/>
  <c r="R39" i="7"/>
  <c r="D29" i="7"/>
  <c r="B29" i="7"/>
  <c r="AA43" i="3"/>
  <c r="O28" i="7"/>
  <c r="N28" i="7"/>
  <c r="M28" i="7"/>
  <c r="L28" i="7"/>
  <c r="K28" i="7"/>
  <c r="J28" i="7"/>
  <c r="I28" i="7"/>
  <c r="H28" i="7"/>
  <c r="G28" i="7"/>
  <c r="F28" i="7"/>
  <c r="E28" i="7"/>
  <c r="E45" i="7" s="1"/>
  <c r="D28" i="7"/>
  <c r="C28" i="7"/>
  <c r="C45" i="7" s="1"/>
  <c r="B28" i="7"/>
  <c r="O32" i="7"/>
  <c r="N32" i="7"/>
  <c r="M32" i="7"/>
  <c r="L32" i="7"/>
  <c r="K32" i="7"/>
  <c r="J32" i="7"/>
  <c r="I32" i="7"/>
  <c r="H32" i="7"/>
  <c r="G32" i="7"/>
  <c r="F32" i="7"/>
  <c r="E32" i="7"/>
  <c r="D32" i="7"/>
  <c r="C32" i="7"/>
  <c r="O29" i="7"/>
  <c r="N29" i="7"/>
  <c r="M29" i="7"/>
  <c r="L29" i="7"/>
  <c r="K29" i="7"/>
  <c r="J29" i="7"/>
  <c r="I29" i="7"/>
  <c r="H29" i="7"/>
  <c r="G29" i="7"/>
  <c r="F29" i="7"/>
  <c r="E29" i="7"/>
  <c r="C29" i="7"/>
  <c r="X8" i="6"/>
  <c r="W8" i="6"/>
  <c r="V8" i="6"/>
  <c r="U8" i="6"/>
  <c r="T8" i="6"/>
  <c r="S8" i="6"/>
  <c r="R8" i="6"/>
  <c r="Q8" i="6"/>
  <c r="P8" i="6"/>
  <c r="O8" i="6"/>
  <c r="M8" i="6"/>
  <c r="L8" i="6"/>
  <c r="K8" i="6"/>
  <c r="I8" i="6"/>
  <c r="X6" i="6"/>
  <c r="W6" i="6"/>
  <c r="V6" i="6"/>
  <c r="U6" i="6"/>
  <c r="T6" i="6"/>
  <c r="S6" i="6"/>
  <c r="R6" i="6"/>
  <c r="Q6" i="6"/>
  <c r="P6" i="6"/>
  <c r="O6" i="6"/>
  <c r="M6" i="6"/>
  <c r="L6" i="6"/>
  <c r="K6" i="6"/>
  <c r="I6" i="6"/>
  <c r="W8" i="4"/>
  <c r="V8" i="4"/>
  <c r="U8" i="4"/>
  <c r="T8" i="4"/>
  <c r="S8" i="4"/>
  <c r="R8" i="4"/>
  <c r="Q8" i="4"/>
  <c r="P8" i="4"/>
  <c r="O8" i="4"/>
  <c r="N8" i="4"/>
  <c r="L8" i="4"/>
  <c r="K8" i="4"/>
  <c r="H8" i="4"/>
  <c r="I122" i="5"/>
  <c r="Z8" i="4" l="1"/>
  <c r="G41" i="7"/>
  <c r="G45" i="7"/>
  <c r="M41" i="7"/>
  <c r="M45" i="7"/>
  <c r="J41" i="7"/>
  <c r="J45" i="7"/>
  <c r="F41" i="7"/>
  <c r="F45" i="7"/>
  <c r="B41" i="7"/>
  <c r="B45" i="7"/>
  <c r="H41" i="7"/>
  <c r="H45" i="7"/>
  <c r="N41" i="7"/>
  <c r="N45" i="7"/>
  <c r="D41" i="7"/>
  <c r="D45" i="7"/>
  <c r="L41" i="7"/>
  <c r="L45" i="7"/>
  <c r="I41" i="7"/>
  <c r="I45" i="7"/>
  <c r="O41" i="7"/>
  <c r="O45" i="7"/>
  <c r="K41" i="7"/>
  <c r="K45" i="7"/>
  <c r="AA8" i="6"/>
  <c r="AA6" i="6"/>
  <c r="AC43" i="3"/>
  <c r="R32" i="7"/>
  <c r="R29" i="7"/>
  <c r="S29" i="7"/>
  <c r="C41" i="7"/>
  <c r="R28" i="7"/>
  <c r="E41" i="7"/>
  <c r="S28" i="7"/>
  <c r="L35" i="7"/>
  <c r="L46" i="7" s="1"/>
  <c r="H35" i="7"/>
  <c r="H46" i="7" s="1"/>
  <c r="G35" i="7"/>
  <c r="G46" i="7" s="1"/>
  <c r="K35" i="7"/>
  <c r="K46" i="7" s="1"/>
  <c r="O35" i="7"/>
  <c r="O46" i="7" s="1"/>
  <c r="J35" i="7"/>
  <c r="J46" i="7" s="1"/>
  <c r="E35" i="7"/>
  <c r="E46" i="7" s="1"/>
  <c r="I35" i="7"/>
  <c r="I46" i="7" s="1"/>
  <c r="M35" i="7"/>
  <c r="M46" i="7" s="1"/>
  <c r="F35" i="7"/>
  <c r="F46" i="7" s="1"/>
  <c r="N35" i="7"/>
  <c r="N46" i="7" s="1"/>
  <c r="C35" i="7"/>
  <c r="C46" i="7" s="1"/>
  <c r="D35" i="7"/>
  <c r="D46" i="7" s="1"/>
  <c r="B35" i="7"/>
  <c r="B46" i="7" s="1"/>
  <c r="H6" i="4"/>
  <c r="L6" i="4"/>
  <c r="K6" i="4"/>
  <c r="J6" i="4"/>
  <c r="W6" i="4"/>
  <c r="V6" i="4"/>
  <c r="U6" i="4"/>
  <c r="T6" i="4"/>
  <c r="S6" i="4"/>
  <c r="R6" i="4"/>
  <c r="Q6" i="4"/>
  <c r="P6" i="4"/>
  <c r="O6" i="4"/>
  <c r="N6" i="4"/>
  <c r="AB8" i="6"/>
  <c r="AD8" i="6"/>
  <c r="AB122" i="5"/>
  <c r="AD122" i="5"/>
  <c r="AA44" i="3"/>
  <c r="AC44" i="3"/>
  <c r="AA45" i="3"/>
  <c r="AC45" i="3"/>
  <c r="B17" i="7"/>
  <c r="O21" i="7"/>
  <c r="N21" i="7"/>
  <c r="M21" i="7"/>
  <c r="L21" i="7"/>
  <c r="K21" i="7"/>
  <c r="J21" i="7"/>
  <c r="I21" i="7"/>
  <c r="H21" i="7"/>
  <c r="O17" i="7"/>
  <c r="N17" i="7"/>
  <c r="M17" i="7"/>
  <c r="L17" i="7"/>
  <c r="K17" i="7"/>
  <c r="J17" i="7"/>
  <c r="I17" i="7"/>
  <c r="H17" i="7"/>
  <c r="AB4" i="6"/>
  <c r="AC4" i="6" s="1"/>
  <c r="AD4" i="6"/>
  <c r="AB5" i="6"/>
  <c r="AC5" i="6" s="1"/>
  <c r="AD5" i="6"/>
  <c r="AB6" i="6"/>
  <c r="AD6" i="6"/>
  <c r="AD3" i="6"/>
  <c r="AB3" i="6"/>
  <c r="AA4" i="4"/>
  <c r="AB4" i="4" s="1"/>
  <c r="AC4" i="4"/>
  <c r="AA5" i="4"/>
  <c r="AB5" i="4" s="1"/>
  <c r="AC5" i="4"/>
  <c r="AC3" i="4"/>
  <c r="AA3" i="4"/>
  <c r="AB3" i="4" s="1"/>
  <c r="AB4" i="5"/>
  <c r="AC4" i="5" s="1"/>
  <c r="AD4" i="5"/>
  <c r="Z6" i="4" l="1"/>
  <c r="H25" i="7"/>
  <c r="H38" i="7" s="1"/>
  <c r="N25" i="7"/>
  <c r="O25" i="7"/>
  <c r="S41" i="7"/>
  <c r="K25" i="7"/>
  <c r="J25" i="7"/>
  <c r="J38" i="7" s="1"/>
  <c r="AA6" i="4"/>
  <c r="S35" i="7"/>
  <c r="AC3" i="6"/>
  <c r="R35" i="7"/>
  <c r="AC3" i="5"/>
  <c r="M25" i="7"/>
  <c r="I25" i="7"/>
  <c r="I42" i="7" s="1"/>
  <c r="R41" i="7"/>
  <c r="L25" i="7"/>
  <c r="AC6" i="4"/>
  <c r="AA41" i="3"/>
  <c r="AB41" i="3" s="1"/>
  <c r="O42" i="7" l="1"/>
  <c r="N38" i="7"/>
  <c r="N49" i="7" s="1"/>
  <c r="K42" i="7"/>
  <c r="L42" i="7"/>
  <c r="H42" i="7"/>
  <c r="K38" i="7"/>
  <c r="K49" i="7" s="1"/>
  <c r="N42" i="7"/>
  <c r="I38" i="7"/>
  <c r="I49" i="7" s="1"/>
  <c r="O38" i="7"/>
  <c r="O49" i="7" s="1"/>
  <c r="J42" i="7"/>
  <c r="M38" i="7"/>
  <c r="M49" i="7" s="1"/>
  <c r="M42" i="7"/>
  <c r="L38" i="7"/>
  <c r="L49" i="7" s="1"/>
  <c r="J49" i="7"/>
  <c r="H49" i="7"/>
  <c r="S32" i="7"/>
  <c r="E17" i="7" l="1"/>
  <c r="G17" i="7" l="1"/>
  <c r="G21" i="7"/>
  <c r="F21" i="7"/>
  <c r="F17" i="7"/>
  <c r="C17" i="7"/>
  <c r="X119" i="5"/>
  <c r="W119" i="5"/>
  <c r="V119" i="5"/>
  <c r="U119" i="5"/>
  <c r="T119" i="5"/>
  <c r="S119" i="5"/>
  <c r="R119" i="5"/>
  <c r="Q119" i="5"/>
  <c r="P119" i="5"/>
  <c r="O119" i="5"/>
  <c r="I119" i="5"/>
  <c r="AC41" i="3"/>
  <c r="Z42" i="3" l="1"/>
  <c r="S17" i="7"/>
  <c r="F25" i="7"/>
  <c r="G25" i="7"/>
  <c r="AA8" i="4"/>
  <c r="AA42" i="3"/>
  <c r="AC42" i="3"/>
  <c r="D17" i="7"/>
  <c r="R17" i="7" s="1"/>
  <c r="AC8" i="4"/>
  <c r="G38" i="7" l="1"/>
  <c r="G49" i="7" s="1"/>
  <c r="F42" i="7"/>
  <c r="G42" i="7"/>
  <c r="F38" i="7"/>
  <c r="F49" i="7" l="1"/>
  <c r="K119" i="5" l="1"/>
  <c r="C21" i="7"/>
  <c r="C25" i="7" s="1"/>
  <c r="C23" i="7"/>
  <c r="K121" i="5"/>
  <c r="C38" i="7" l="1"/>
  <c r="C42" i="7"/>
  <c r="C27" i="7"/>
  <c r="C44" i="7" s="1"/>
  <c r="AB86" i="5"/>
  <c r="AC86" i="5" s="1"/>
  <c r="AA86" i="5"/>
  <c r="AD86" i="5"/>
  <c r="C40" i="7" l="1"/>
  <c r="C49" i="7"/>
  <c r="AA105" i="5" l="1"/>
  <c r="L121" i="5"/>
  <c r="AA121" i="5" s="1"/>
  <c r="L119" i="5"/>
  <c r="AA119" i="5" s="1"/>
  <c r="B21" i="7"/>
  <c r="B25" i="7" s="1"/>
  <c r="B38" i="7" s="1"/>
  <c r="D23" i="7"/>
  <c r="E21" i="7"/>
  <c r="S21" i="7" s="1"/>
  <c r="D21" i="7"/>
  <c r="D25" i="7" s="1"/>
  <c r="AB105" i="5"/>
  <c r="AC105" i="5" s="1"/>
  <c r="M121" i="5"/>
  <c r="E23" i="7"/>
  <c r="S23" i="7" s="1"/>
  <c r="E25" i="7" l="1"/>
  <c r="S25" i="7" s="1"/>
  <c r="AB119" i="5"/>
  <c r="R23" i="7"/>
  <c r="B42" i="7"/>
  <c r="D38" i="7"/>
  <c r="D27" i="7"/>
  <c r="B49" i="7"/>
  <c r="M119" i="5"/>
  <c r="AD119" i="5" s="1"/>
  <c r="AD121" i="5"/>
  <c r="AD105" i="5"/>
  <c r="D42" i="7"/>
  <c r="E27" i="7"/>
  <c r="E44" i="7" s="1"/>
  <c r="R21" i="7"/>
  <c r="AB121" i="5"/>
  <c r="E42" i="7" l="1"/>
  <c r="R25" i="7"/>
  <c r="E38" i="7"/>
  <c r="S38" i="7" s="1"/>
  <c r="D49" i="7"/>
  <c r="D40" i="7"/>
  <c r="R27" i="7"/>
  <c r="D44" i="7"/>
  <c r="E40" i="7"/>
  <c r="S40" i="7" s="1"/>
  <c r="S27" i="7"/>
  <c r="E49" i="7" l="1"/>
  <c r="R38" i="7"/>
  <c r="R40" i="7"/>
</calcChain>
</file>

<file path=xl/sharedStrings.xml><?xml version="1.0" encoding="utf-8"?>
<sst xmlns="http://schemas.openxmlformats.org/spreadsheetml/2006/main" count="1290" uniqueCount="664">
  <si>
    <t>Podsumowanie naboru:</t>
  </si>
  <si>
    <t>Kategoria drogi - rodzaj listy</t>
  </si>
  <si>
    <t>powiatowe - lista rezerwowa</t>
  </si>
  <si>
    <t>gminne - lista rezerwowa</t>
  </si>
  <si>
    <t>L.p.</t>
  </si>
  <si>
    <t>Nr ewid.</t>
  </si>
  <si>
    <t>Jednostka Samorządu Terytorialnego</t>
  </si>
  <si>
    <t>Nazwa zadania</t>
  </si>
  <si>
    <t>Długość odcinka (w km)</t>
  </si>
  <si>
    <t>Ogółem wartość projektu  (w zł)</t>
  </si>
  <si>
    <t>Wnioskowana kwota dofinansowania (w zł)</t>
  </si>
  <si>
    <t>% dofinansowania</t>
  </si>
  <si>
    <t>Kwota dofinansowania w podziale na lata</t>
  </si>
  <si>
    <t>Deklarowana kwota środków własnych (w zł)</t>
  </si>
  <si>
    <t>x</t>
  </si>
  <si>
    <t>Powiat</t>
  </si>
  <si>
    <t>Wnioskowana kwota dofinansowania
(w zł)</t>
  </si>
  <si>
    <t>Wnioskowana kwota dofinansowania
 (w zł)</t>
  </si>
  <si>
    <t>Wartość zadań ogółem</t>
  </si>
  <si>
    <t>Deklarowana kwota środków własnych</t>
  </si>
  <si>
    <t>RAZEM listy rezerwowe</t>
  </si>
  <si>
    <t>Okres realizacji zadania</t>
  </si>
  <si>
    <t>B - budowa (rozbudowa), P - przebudowa, R - remont</t>
  </si>
  <si>
    <t>kolorem czerwonym oznaczono zadania wieloletnie</t>
  </si>
  <si>
    <t>Rodzaj zadania</t>
  </si>
  <si>
    <r>
      <t>Okres realizacji zadania</t>
    </r>
    <r>
      <rPr>
        <b/>
        <vertAlign val="superscript"/>
        <sz val="8"/>
        <color rgb="FF000000"/>
        <rFont val="Arial"/>
        <family val="2"/>
        <charset val="238"/>
      </rPr>
      <t/>
    </r>
  </si>
  <si>
    <t>spr-lata</t>
  </si>
  <si>
    <t>spr-procent</t>
  </si>
  <si>
    <t>spr-dof</t>
  </si>
  <si>
    <t>spr-montaż</t>
  </si>
  <si>
    <t>TERC</t>
  </si>
  <si>
    <t>RAZEM listy</t>
  </si>
  <si>
    <t>Liczba zadań</t>
  </si>
  <si>
    <t>N - zadanie nowe, W - nowe zadanie wieloletnie</t>
  </si>
  <si>
    <t>powiatowe - lista podstawowa, z tego:</t>
  </si>
  <si>
    <t>kontynuowane zadania wieloletnie</t>
  </si>
  <si>
    <t>nowe zadania jednoroczne</t>
  </si>
  <si>
    <t>nowe zadania wieloletnie</t>
  </si>
  <si>
    <t>gminne - lista podstawowa, z tego:</t>
  </si>
  <si>
    <t>RAZEM listy podstawowe, z tego:</t>
  </si>
  <si>
    <t>N - nowe zadanie jednoroczne, K - kontynuowane zadanie wieloletnie z wcześniejszego naboru, W - nowe zadanie wieloletnie</t>
  </si>
  <si>
    <t>Zadanie nowe/kontynuowane/wieloletnie [N/K/W]</t>
  </si>
  <si>
    <t>RAZEM, z tego:</t>
  </si>
  <si>
    <t>Zadanie nowe/wieloletnie [N/W]</t>
  </si>
  <si>
    <t>* Kwota dofinansowania zmniejszona do limitu dostępnych środków Rządowego Funduszu Rozwoju Dróg; zwiększenie dofinansowania możliwe w przypadku wystąpienia oszczędności. W przypadku braku oszczędności w Funduszu, realizacja zadania będzie wymagała zabezpieczenia wkładu własnego wnioskodawcy w większej wysokości.</t>
  </si>
  <si>
    <r>
      <t>Dofinansowanie przyznane w naborze</t>
    </r>
    <r>
      <rPr>
        <b/>
        <sz val="10"/>
        <rFont val="Times New Roman"/>
        <family val="1"/>
        <charset val="238"/>
      </rPr>
      <t>:</t>
    </r>
    <r>
      <rPr>
        <sz val="10"/>
        <rFont val="Times New Roman"/>
        <family val="1"/>
        <charset val="238"/>
      </rPr>
      <t xml:space="preserve"> 2024</t>
    </r>
  </si>
  <si>
    <t>Województwo: śląskie</t>
  </si>
  <si>
    <t>K</t>
  </si>
  <si>
    <t>P</t>
  </si>
  <si>
    <t>MIASTO CZĘSTOCHOWA</t>
  </si>
  <si>
    <t>B</t>
  </si>
  <si>
    <t>POWIAT PSZCZYŃSKI</t>
  </si>
  <si>
    <t>815/21</t>
  </si>
  <si>
    <t xml:space="preserve">POWIAT RACIBORSKI </t>
  </si>
  <si>
    <t>Przebudowa drogi powiatowej nr 3506S na odcinku od skrzyżowania z DW 916 do skrzyżowania z DP 3528S w Krzanowicach oraz remont od skrzyżowania z DP 3528S do skrzyżowania z DW 917 i przebudowa drogi powiatowej nr 3529 S na odcinku od DK 45 w Tworkowie do początku obszaru zabudowanego Borucina</t>
  </si>
  <si>
    <t>czerwiec 2022-maj 2024</t>
  </si>
  <si>
    <t>790/21</t>
  </si>
  <si>
    <t>MIASTO MYSŁOWICE</t>
  </si>
  <si>
    <t>Przebudowa ulicy Długiej w Mysłowicach - etap I</t>
  </si>
  <si>
    <t>p</t>
  </si>
  <si>
    <t>sierpień 2022-lipiec 2024</t>
  </si>
  <si>
    <t>MIASTO DĄBROWA GÓRNICZA</t>
  </si>
  <si>
    <t>Przebudowa dróg powiatowych nr 1767 S i 1776 S w miejscowościach Wólka Ołudzka, Jeziorowice, Otola, Wola Libertowska i Żarnowiec</t>
  </si>
  <si>
    <t>POWIAT WODZISŁAWSKI</t>
  </si>
  <si>
    <t>816/21</t>
  </si>
  <si>
    <t>POWIAT CZĘSTOCHOWSKI</t>
  </si>
  <si>
    <t>Przebudowa drogi powiatowej nr 1072 S w miejscowości Stary Broniszew, gmina Mykanów</t>
  </si>
  <si>
    <t>kwiecień 2022-grudzień 2024</t>
  </si>
  <si>
    <t>POWIAT RACIBORSKI</t>
  </si>
  <si>
    <t>955/22</t>
  </si>
  <si>
    <t>W</t>
  </si>
  <si>
    <t>POWIAT BIELSKI</t>
  </si>
  <si>
    <t>2402</t>
  </si>
  <si>
    <t>Przebudowa drogi powiatowej 4116S ul. Legionów w Czechowicach-Dziedzicach na odcinku od ul. Lipowskiej do granicy Bielska-Białej</t>
  </si>
  <si>
    <t>czerwiec 2023-listopad 2024</t>
  </si>
  <si>
    <t>956/22</t>
  </si>
  <si>
    <t>Przebudowa drogi powiatowej nr 4444S Czechowice-Bestwina-Dankowice-Jawiszowice na długości 1881 mb w Dankowicach</t>
  </si>
  <si>
    <t>maj 2023-sierpień 2024</t>
  </si>
  <si>
    <t>905/22</t>
  </si>
  <si>
    <t>POWIAT MYSZKOWSKI</t>
  </si>
  <si>
    <t>2409</t>
  </si>
  <si>
    <t xml:space="preserve">Przebudowa drogi powiatowej od ronda w m. Postęp do ronda w m. Myszków - Mrzygłód na odcinku długości ok. 8,5 km - Usprawnienie i poprawa bezpieczeństwa ruchu drogowego i pieszych </t>
  </si>
  <si>
    <t>luty 2023-czerwiec 2024</t>
  </si>
  <si>
    <t>N</t>
  </si>
  <si>
    <t>935/22</t>
  </si>
  <si>
    <t>MIASTO JAWORZNO</t>
  </si>
  <si>
    <t>Przebudowa ul. Szczakowskiej 6800 S wraz z budową ronda w Jaworznie</t>
  </si>
  <si>
    <t>924/22</t>
  </si>
  <si>
    <t>POWIAT TARNOGÓRSKI</t>
  </si>
  <si>
    <t>2413</t>
  </si>
  <si>
    <t>Przebudowa DP3224S ulica Mikulczycka w Świętoszowicach</t>
  </si>
  <si>
    <t>lipiec 2023-październik 2025</t>
  </si>
  <si>
    <t>2410</t>
  </si>
  <si>
    <t>2416</t>
  </si>
  <si>
    <t>2404</t>
  </si>
  <si>
    <t>954/22</t>
  </si>
  <si>
    <t>POWIAT MIKOŁOWSKI</t>
  </si>
  <si>
    <t>2408</t>
  </si>
  <si>
    <t>Przebudowa ul. Pszczyńskiej w Mikołowie - etap II</t>
  </si>
  <si>
    <t>maj 2023-listopad 2024</t>
  </si>
  <si>
    <t>POWIAT GLIWICKI</t>
  </si>
  <si>
    <t>2405</t>
  </si>
  <si>
    <t>MIASTO ŻORY</t>
  </si>
  <si>
    <t>POWIAT BĘDZIŃSKI</t>
  </si>
  <si>
    <t>2401</t>
  </si>
  <si>
    <t>POWIAT CIESZYŃSKI</t>
  </si>
  <si>
    <t>2403</t>
  </si>
  <si>
    <t>MIASTO RYBNIK</t>
  </si>
  <si>
    <t>Rozbudowa ul. Sportowej w Rybniku na odcinku od przejazdu kolejowego do ul. Morcinka</t>
  </si>
  <si>
    <t>czerwiec 2023-wrzesień 2024</t>
  </si>
  <si>
    <t>2415</t>
  </si>
  <si>
    <t>Przebudowa drogi powiatowej nr 1057 S na odc. Wrzosowa - Huta Stara B, gmina Poczesna</t>
  </si>
  <si>
    <t>MIASTO SOSNOWIEC</t>
  </si>
  <si>
    <t>marzec 2023-listopad 2024</t>
  </si>
  <si>
    <t>1453/23</t>
  </si>
  <si>
    <t>1434/23</t>
  </si>
  <si>
    <t>1535/23</t>
  </si>
  <si>
    <t>MIASTO BIELSKO-BIAŁA</t>
  </si>
  <si>
    <t>MIASTO CHORZÓW</t>
  </si>
  <si>
    <t>1519/23</t>
  </si>
  <si>
    <t>1433/23</t>
  </si>
  <si>
    <t>1509/23</t>
  </si>
  <si>
    <t>1491/23</t>
  </si>
  <si>
    <t>MIASTO ZABRZE</t>
  </si>
  <si>
    <t>1410/23</t>
  </si>
  <si>
    <t>1414/23</t>
  </si>
  <si>
    <t>POWIAT KŁOBUCKI</t>
  </si>
  <si>
    <t>1521/23</t>
  </si>
  <si>
    <t>1419/23</t>
  </si>
  <si>
    <t>1522/23</t>
  </si>
  <si>
    <t>1486/23</t>
  </si>
  <si>
    <t>1487/23</t>
  </si>
  <si>
    <t>1447/23</t>
  </si>
  <si>
    <t>1510/23</t>
  </si>
  <si>
    <t>1415/23</t>
  </si>
  <si>
    <t>1505/23</t>
  </si>
  <si>
    <t>MIASTO SIEMIANOWICE ŚLĄSKIE</t>
  </si>
  <si>
    <t>2461011</t>
  </si>
  <si>
    <t>2473011</t>
  </si>
  <si>
    <t>2478011</t>
  </si>
  <si>
    <t>2406</t>
  </si>
  <si>
    <t>2412</t>
  </si>
  <si>
    <t>2474011</t>
  </si>
  <si>
    <t xml:space="preserve">Budowa ul. Nowoszczakowskiej wraz z przebudową skrzyżowania z ul. Grunwaldzką DK79 w Jaworznie </t>
  </si>
  <si>
    <t>Przebudowa drogi powiatowej od ronda w m. Postęp do ronda w m. Myszków - Mrzygłód na odcinku długości ok. 8,5 km" - Usprawnienie i poprawa bezpieczeństwa ruchu drogowego i pieszych - Etap II</t>
  </si>
  <si>
    <t>Rozbudowa ul. Piastowskiej w Bielsku-Białej</t>
  </si>
  <si>
    <t>Rozbudowa drogi powiatowej 2633S Strumień - Jasienica w Jasienicy</t>
  </si>
  <si>
    <t>Rozbudowa ulicy Janasa w Chorzowie obejmująca rozbudowę odcinka od ul. 3 Maja do ul. Mariańskiej, budowę przedłużenia do ul. Łagiewnickiej wraz z rozbudową skrzyżowań oraz infrastruktury technicznej</t>
  </si>
  <si>
    <t>Rozbudowa drogi powiatowej 4477S Czaniec-Bukowiec-Porąbka w gminie Porąbka etap II km 2+460 - 4+702</t>
  </si>
  <si>
    <t>Przebudowa drogi powiatowej nr 3509S w miejscowości Turze od wału przed mostem na rzece Rudzie do rejonu dz. 910/2 wraz z budową fragmentu nowego przebiegu tej drogi</t>
  </si>
  <si>
    <t>Budowa ścieżki pieszo-rowerowej od DW 789 - Koziegłówki - Mysłów - Osiek w ramach przebudowy drogi powiatowej nr 3801 S wraz z kanalizacją deszczową oraz częściową przebudową nawierzchni drogowej - Etap II</t>
  </si>
  <si>
    <t>Rozbudowa drogi powiatowej 2702 S - ul. Słowiczej w Cieszynie wraz z przebudową skrzyżowania z ul. Hallera</t>
  </si>
  <si>
    <t>Przebudowa drogi powiatowej nr 1050 S - ul. Przemysłowa w miejscowości Konopiska, gmina Konopiska</t>
  </si>
  <si>
    <t>Rozbudowa DP 3290S ulicy Grzybowej w Tarnowskich Górach</t>
  </si>
  <si>
    <t>Rozbudowa skrzyżowania drogi powiatowej Nr 2981S ul. 1 Maja z drogą powiatową Nr 2982S ul. Wilsona w Knurowie</t>
  </si>
  <si>
    <t>Przebudowa obiektów inżynierskich na terenie miasta Zabrze - Most w ciągu ul. Trębackiej nad rzeką Bytomką</t>
  </si>
  <si>
    <t xml:space="preserve">Przebudowa drogi powiatowej nr 5037S ul. 1 Maja w Gołkowicach </t>
  </si>
  <si>
    <t>Remont drogi powiatowej nr 2048 S relacji Kalej - Szarlejka</t>
  </si>
  <si>
    <t>Przebudowa drogi powiatowej 4801S - ul. Częstochowska w Siewierzu</t>
  </si>
  <si>
    <t>Rozbudowa skrzyżowania ul. Wileńskiej z ul. I. Łukasiewicza i ul. Minerów wraz z przebudową ul. I. Łukasiewicza</t>
  </si>
  <si>
    <t>Przebudowa drogi powiatowej nr 5604S ulica Raciborska w Bogunicach</t>
  </si>
  <si>
    <t>Przebudowa drogi powiatowej 4701S - ul. Katowicka w Czeladzi - etap II</t>
  </si>
  <si>
    <t>Remont dróg powiatowych ul. Śląskiej w Krzyżowicach oraz Boryńskiej w Warszowicach</t>
  </si>
  <si>
    <t>Remont dróg powiatowych ul. Katowickiej, ul. Chopina, ul. Batalionów Chłopskich w Pszczynie</t>
  </si>
  <si>
    <t>Remont DP 3209S ul. Powstańców Śląskich w Tworogu i ul. Wiejska w Nowej Wsi Tworoskiej</t>
  </si>
  <si>
    <t>Rozbudowa drogi powiatowej nr 2693S ul. Przepilińskiego w Cieszynie na odcinku od skrzyżowania z ul. Stawową do skrzyżowania z ul. Kajzara</t>
  </si>
  <si>
    <t>Przebudowa ul. Chrobrego w Orzeszu od ul. Modrzewiowej do ul. Mokrej - etap II</t>
  </si>
  <si>
    <t>Przebudowa i remont nawierzchni drogi powiatowej Nr 2970 S ul. Wiejska w Pisarzowicach</t>
  </si>
  <si>
    <t xml:space="preserve">Remont drogi powiatowej 9628S (ul. Parkowa) w Siemianowicach Śląskich </t>
  </si>
  <si>
    <t>R</t>
  </si>
  <si>
    <t>marzec 2024-październik 2026</t>
  </si>
  <si>
    <t>marzec 2024-lipiec 2026</t>
  </si>
  <si>
    <t>marzec 2024-grudzień 2025</t>
  </si>
  <si>
    <t>czerwiec 2024-listopad 2025</t>
  </si>
  <si>
    <t>maj 2024-kwiecień 2025</t>
  </si>
  <si>
    <t>luty 2024-listopad 2024</t>
  </si>
  <si>
    <t>kwiecień 2024-maj 2026</t>
  </si>
  <si>
    <t>kwiecień 2024-marzec 2025</t>
  </si>
  <si>
    <t>sierpień 2024-październik 2026</t>
  </si>
  <si>
    <t>marzec 2024-październik 2025</t>
  </si>
  <si>
    <t>styczeń 2024-grudzień 2024</t>
  </si>
  <si>
    <t>marzec 2024-październik 2024</t>
  </si>
  <si>
    <t>marzec 2024-luty 2025</t>
  </si>
  <si>
    <t>styczeń 2024-grudzień 2025</t>
  </si>
  <si>
    <t>marzec 2024-grudzień 2024</t>
  </si>
  <si>
    <t>lipiec 2024-czerwiec 2025</t>
  </si>
  <si>
    <t>czerwiec 2024-listopad 2024</t>
  </si>
  <si>
    <t>czerwiec 2024-maj 2025</t>
  </si>
  <si>
    <t>469/20</t>
  </si>
  <si>
    <t>GMINA GOLESZÓW</t>
  </si>
  <si>
    <t>2403072</t>
  </si>
  <si>
    <t>cieszyński</t>
  </si>
  <si>
    <t>Rozbudowa ul. Kojkowickiej w Puńcowie na odcinku 1,7 km wraz z przebudową mostu</t>
  </si>
  <si>
    <t>marzec 2021 - styczeń 2025</t>
  </si>
  <si>
    <t>549/20</t>
  </si>
  <si>
    <t xml:space="preserve">GMINA TARNOWSKIE GÓRY </t>
  </si>
  <si>
    <t>2413041</t>
  </si>
  <si>
    <t>tarnogórski</t>
  </si>
  <si>
    <t xml:space="preserve">Rozbudowa układu drogowego w rejonie ulic Królika, Szymały, Rymera w Tarnowskich Górach - etap C i D </t>
  </si>
  <si>
    <t>wodzisławski</t>
  </si>
  <si>
    <t>501/20</t>
  </si>
  <si>
    <t>GMINA RADZIONKÓW</t>
  </si>
  <si>
    <t>2413031</t>
  </si>
  <si>
    <t>Przebudowa ul. M.Dąbrowskiej w Radzionkowie (na odcinku od skrzyżowania z ul. Wspólną do skrzyżowania z ul. N.Żołnierza)</t>
  </si>
  <si>
    <t>lipiec 2021 - czerwiec 2024</t>
  </si>
  <si>
    <t>419/20</t>
  </si>
  <si>
    <t>GMINA MIEDŹNO</t>
  </si>
  <si>
    <t>2406042</t>
  </si>
  <si>
    <t>kłobucki</t>
  </si>
  <si>
    <t>Rozbudowa dróg gminnych: 656040 S ul. Głównej, ul. ks. A. Morawca, 656044 S ul. Wesołej, ul. Nadrzecznej, 656040 S. ul. Sosnowej, 656041 S ul. Dębowej i Brzozowej w miejscowości Borowa gm. Miedźno</t>
  </si>
  <si>
    <t>grudzień 2021 - wrzesień 2026</t>
  </si>
  <si>
    <t>lubliniecki</t>
  </si>
  <si>
    <t>Bielsko-Biała</t>
  </si>
  <si>
    <t>bielski</t>
  </si>
  <si>
    <t>2409011</t>
  </si>
  <si>
    <t>myszkowski</t>
  </si>
  <si>
    <t>MIASTO BYTOM</t>
  </si>
  <si>
    <t>2462011</t>
  </si>
  <si>
    <t>Bytom</t>
  </si>
  <si>
    <t>GMINA TARNOWSKIE GÓRY</t>
  </si>
  <si>
    <t>2408011</t>
  </si>
  <si>
    <t>mikołowski</t>
  </si>
  <si>
    <t>GMINA RACIBÓRZ</t>
  </si>
  <si>
    <t>2411011</t>
  </si>
  <si>
    <t>raciborski</t>
  </si>
  <si>
    <t>MIASTO RUDA ŚLĄSKA</t>
  </si>
  <si>
    <t>2472011</t>
  </si>
  <si>
    <t>Ruda Śląska</t>
  </si>
  <si>
    <t>747/21</t>
  </si>
  <si>
    <t>GMINA OLSZTYN</t>
  </si>
  <si>
    <t>2404122</t>
  </si>
  <si>
    <t>częstochowski</t>
  </si>
  <si>
    <t>Budowa drogi gminnej w miejscowości Biskupice-gmina Olsztyn do granic miejscowości Choroń - gmina Poraj</t>
  </si>
  <si>
    <t>lipiec 2022-lipiec 2024</t>
  </si>
  <si>
    <t>811/21</t>
  </si>
  <si>
    <t>GMINA PORAJ</t>
  </si>
  <si>
    <t>2409042</t>
  </si>
  <si>
    <t>Budowa drogi gminnej w miejscowości Choroń-gmina Poraj do granicy miejscowości Biskupice - gmina Olsztyn</t>
  </si>
  <si>
    <t>841/21</t>
  </si>
  <si>
    <t>2463011</t>
  </si>
  <si>
    <t>Chorzów</t>
  </si>
  <si>
    <t>Przebudowa ul. Władysława Truchana na odcinku od ul. Sienkiewicza do ul. Strzelców Bytomskich w Chorzowie</t>
  </si>
  <si>
    <t>czerwiec 2022-październik 2024</t>
  </si>
  <si>
    <t>2413062</t>
  </si>
  <si>
    <t>1014/22</t>
  </si>
  <si>
    <t>GMINA BĘDZIN</t>
  </si>
  <si>
    <t>2401011</t>
  </si>
  <si>
    <t>będziński</t>
  </si>
  <si>
    <t>Przebudowa dróg gminnych 300003S oraz 300019S, 300094S, przebudowa ciągów pieszych, parkingu,  zatoki postojowej, oświetlenia obiektów infrastruktury technicznej w pasie drogowym ulic Śmigielskiego, Sznajdera oraz Rewolucjonistów</t>
  </si>
  <si>
    <t>marzec 2023-wrzesień 2024</t>
  </si>
  <si>
    <t>993/22</t>
  </si>
  <si>
    <t>Rozbudowa ulicy Wielodroga w Puńcowie na odcinku 1,5 km</t>
  </si>
  <si>
    <t>październik 2023-październik 2026</t>
  </si>
  <si>
    <t>972/22</t>
  </si>
  <si>
    <t>2475011</t>
  </si>
  <si>
    <t>Sosnowiec</t>
  </si>
  <si>
    <t>Budowa drogi łączącej ul. Wiązową z ul. Gospodarczą w Sosnowcu wraz z przebudową istniejącej części ul. Gospodarczej oraz przebudową ul. Siennej</t>
  </si>
  <si>
    <t>styczeń 2023-wrzesień 2024</t>
  </si>
  <si>
    <t>941/22</t>
  </si>
  <si>
    <t>Przebudowa ul. Ks. Stanisława Staszica w Raciborzu</t>
  </si>
  <si>
    <t>maj 2023-październik 2024</t>
  </si>
  <si>
    <t>Częstochowa</t>
  </si>
  <si>
    <t>2401021</t>
  </si>
  <si>
    <t>gliwicki</t>
  </si>
  <si>
    <t>974/22</t>
  </si>
  <si>
    <t>GMINA BORONÓW</t>
  </si>
  <si>
    <t>2407022</t>
  </si>
  <si>
    <t>Przebudowa ul. Nadrzecznej wraz z oświetleniem w Boronowie</t>
  </si>
  <si>
    <t>GMINA BIERUŃ</t>
  </si>
  <si>
    <t>2414011</t>
  </si>
  <si>
    <t>bieruńsko-lędziński</t>
  </si>
  <si>
    <t>GMINA KNURÓW</t>
  </si>
  <si>
    <t>2405011</t>
  </si>
  <si>
    <t>963/22</t>
  </si>
  <si>
    <t>GMINA WILKOWICE</t>
  </si>
  <si>
    <t>2402102</t>
  </si>
  <si>
    <t>Przebudowa ul. Sportowej oraz rozbudowa ul. Do Lasku w formule zaprojektuj-wybuduj</t>
  </si>
  <si>
    <t>maj 2023-czerwiec  2026</t>
  </si>
  <si>
    <t>947/22</t>
  </si>
  <si>
    <t>GMINA PSZCZYNA</t>
  </si>
  <si>
    <t>2410053</t>
  </si>
  <si>
    <t>pszczyński</t>
  </si>
  <si>
    <t>Rozbudowa ul. Dygasińskiego i ul. Wczasowej w Łące</t>
  </si>
  <si>
    <t>marzec 2023-październik 2024</t>
  </si>
  <si>
    <t>Zabrze</t>
  </si>
  <si>
    <t>939/22</t>
  </si>
  <si>
    <t>Rozbudowa ul. Pocztowej i ul. Startowej w Bielsku-Białej - etap 2</t>
  </si>
  <si>
    <t>czerwiec 2023-grudzień 2024</t>
  </si>
  <si>
    <t>944/22</t>
  </si>
  <si>
    <t>Rybnik</t>
  </si>
  <si>
    <t>Przebudowa ul. Niewiadomskiej na odcinku od skrzyżowania z ul. Raciborską (DW 935) do granicy miasta</t>
  </si>
  <si>
    <t>czerwiec 2023-lipiec 2024</t>
  </si>
  <si>
    <t>GMINA KOZIEGŁOWY</t>
  </si>
  <si>
    <t>GMINA BOBROWNIKI</t>
  </si>
  <si>
    <t>2401042</t>
  </si>
  <si>
    <t>987/22</t>
  </si>
  <si>
    <t>Rozbudowa drogi łączącej ul. Księżogórską z ul. M. Dąbrowskiej w Radzionkowie</t>
  </si>
  <si>
    <t>GMINA OGRODZIENIEC</t>
  </si>
  <si>
    <t>2416063</t>
  </si>
  <si>
    <t>zawierciański</t>
  </si>
  <si>
    <t>GMINA KOSZĘCIN</t>
  </si>
  <si>
    <t>2407062</t>
  </si>
  <si>
    <t>GMINA SKOCZÓW</t>
  </si>
  <si>
    <t>GMINA HERBY</t>
  </si>
  <si>
    <t>2407042</t>
  </si>
  <si>
    <t>912/22</t>
  </si>
  <si>
    <t>Budowa chodnika przy ul. Staffa w Tarnowskich Górach</t>
  </si>
  <si>
    <t>marzec 2023-grudzień 2024</t>
  </si>
  <si>
    <t>916/22</t>
  </si>
  <si>
    <t>GMINA PYSKOWICE</t>
  </si>
  <si>
    <t>2405021</t>
  </si>
  <si>
    <t>Przebudowa ulicy gen. Władysława Sikorskiego</t>
  </si>
  <si>
    <t>wrzesień 2023-sierpień 2025</t>
  </si>
  <si>
    <t>998/22</t>
  </si>
  <si>
    <t>2407032</t>
  </si>
  <si>
    <t>Budowa kompletnej sieci dróg gminnych nowopowstałej strefy mieszkalno-usługowej położonej od ulicy Lipowej do linii lasu w miejscowości Ciasna gmina Ciasna</t>
  </si>
  <si>
    <t>2465011</t>
  </si>
  <si>
    <t>Dąbrowa Górnicza</t>
  </si>
  <si>
    <t>1013/22</t>
  </si>
  <si>
    <t xml:space="preserve">Budowa przedłużenia ulicy Bojarskiego od skrzyżowania z ul. Siemianowicką do ul. Bytkowskiej </t>
  </si>
  <si>
    <t>grudzień 2023-grudzień 2025</t>
  </si>
  <si>
    <t>GMINA KONIECPOL</t>
  </si>
  <si>
    <t>2404063</t>
  </si>
  <si>
    <t>GMINA SIEWIERZ</t>
  </si>
  <si>
    <t>GMINA PSARY</t>
  </si>
  <si>
    <t>2401062</t>
  </si>
  <si>
    <t>Przebudowa drogi gminnej ul. Głównej w Sarnowie</t>
  </si>
  <si>
    <t>Przebudowa ulicy Tysiąclecia w Bytomiu</t>
  </si>
  <si>
    <t>lipiec  2023-listopad 2024</t>
  </si>
  <si>
    <t>GMINA WODZISŁAW ŚLĄSKI</t>
  </si>
  <si>
    <t>GMINA PAWŁOWICE</t>
  </si>
  <si>
    <t>GMINA CZELADŹ</t>
  </si>
  <si>
    <t xml:space="preserve">GMINA RADZIONKÓW </t>
  </si>
  <si>
    <t>GMINA JASIENICA</t>
  </si>
  <si>
    <t>GMINA LUBLINIEC</t>
  </si>
  <si>
    <t>GMINA KRZYŻANOWICE</t>
  </si>
  <si>
    <t xml:space="preserve">GMINA KOZY </t>
  </si>
  <si>
    <t>GMINA WOJKOWICE</t>
  </si>
  <si>
    <t>GMINA LELÓW</t>
  </si>
  <si>
    <t>GMINA WĘGIERSKA GÓRKA</t>
  </si>
  <si>
    <t>GMINA IMIELIN</t>
  </si>
  <si>
    <t>GMINA POCZESNA</t>
  </si>
  <si>
    <t>GMINA DĘBOWIEC</t>
  </si>
  <si>
    <t>GMINA PILCHOWICE</t>
  </si>
  <si>
    <t>GMINA ŁAZY</t>
  </si>
  <si>
    <t>GMINA WYRY</t>
  </si>
  <si>
    <t>GMINA WŁODOWICE</t>
  </si>
  <si>
    <t>MIASTO GLIWICE</t>
  </si>
  <si>
    <t>GMINA KRZEPICE</t>
  </si>
  <si>
    <t>GMINA ZEBRZYDOWICE</t>
  </si>
  <si>
    <t>GMINA ISTEBNA</t>
  </si>
  <si>
    <t>GMINA STARCZA</t>
  </si>
  <si>
    <t>GMINA RADZIECHOWY-WIEPRZ</t>
  </si>
  <si>
    <t>GMINA KŁOBUCK</t>
  </si>
  <si>
    <t>GMINA KONOPISKA</t>
  </si>
  <si>
    <t>GMINA BOJSZOWY</t>
  </si>
  <si>
    <t>GMINA STRUMIEŃ</t>
  </si>
  <si>
    <t>GMINA WIELOWIEŚ</t>
  </si>
  <si>
    <t>GMINA GORZYCE</t>
  </si>
  <si>
    <t>GMINA ORZESZE</t>
  </si>
  <si>
    <t>Przebudowa drogi gminnej Nr 595009S ul. Długa w m. Rzeniszów i Wojsławice</t>
  </si>
  <si>
    <t>Przebudowa drogi gminnej -  ul. Szkolnej w Koniecpolu</t>
  </si>
  <si>
    <t>Przebudowa drogi na terenach po KWK 1 Maja wraz z oświetleniem i odwodnieniem w Wodzisławiu Śląskim</t>
  </si>
  <si>
    <t>Rozbudowa ul. Pieczarkowej, przebudowa odcinka ul. Polnej oraz budowa drogi gminnej równoległej do ul. Polnej w Pawłowicach</t>
  </si>
  <si>
    <t>Budowa obwodnicy osiedla Rojce w Czeladzi - etap I</t>
  </si>
  <si>
    <t>Rozbudowa DG 656014S w miejscowości Kołaczkowice Duże, etap I i etap II , gm. Miedźno</t>
  </si>
  <si>
    <t xml:space="preserve">Rozbudowa ulicy Kolejowej w Psarach </t>
  </si>
  <si>
    <t>Budowa drogi gminnej położonej w miejscowości Olsztyn, ul. Bukowa</t>
  </si>
  <si>
    <t>Przebudowa ul. Babickiej w Raciborzu</t>
  </si>
  <si>
    <t>Przebudowa fragmentu dróg gminnych ul. Wiślańskiej w Skoczowie i ul. Stara Droga w Harbutowicach wraz z budową chodnika, kanalizacji deszczowej oraz oświetlenia ulicznego</t>
  </si>
  <si>
    <t>Przebudowa (na odcinku od ul. Wandy do ul. M.  Dąbrowskiej) oraz rozbudowa (na odcinku od ul. M. Dąbrowskiej do ul. Ciepłowniczej) ul. N. Żołnierza wraz z budową ul. Ciepłowniczej w Radzionkowie</t>
  </si>
  <si>
    <t>Przebudowa i budowa drogi dojazdowej wraz z rondem do terenów inwestycyjnych położonych przy ul. Mikołowskiej w Raciborzu - uzbrojenie terenów inwestycyjnych przy ul. Mikołowskiej w Raciborzu</t>
  </si>
  <si>
    <t>Budowa ulicy Mieszka I, al. Jana Pawła II, ulicy Jana III Sobieskiego i ulicy Stefana Batorego w Pyskowicach</t>
  </si>
  <si>
    <t>Przebudowa pasa drogowego ulicy Wojska Polskiego i Staszica w Dąbrowie Górniczej</t>
  </si>
  <si>
    <t>Rozbudowa układu drogowego w sąsiedztwie węzła drogi ekspresowej S52 w Jasienicy - etap I</t>
  </si>
  <si>
    <t>Rozbudowa układu drogowego ulic: Cicha, Prosta, Skośna, Rudna w Tarnowskich Górach</t>
  </si>
  <si>
    <t>Rozbudowa ul. Hołcyna w Brennej</t>
  </si>
  <si>
    <t>Budowa drogi wraz z rondem w ciągu drogi gminnej nr 410133S w ul. Pięknej</t>
  </si>
  <si>
    <t>Przebudowa ul. Rzemieślniczej i Wojnowskiej w Bieńkowicach</t>
  </si>
  <si>
    <t>Rozbudowa ul. Panienki w Kozach</t>
  </si>
  <si>
    <t>Przebudowa drogi gminnej nr 634013S ul. Morcinka w Wojkowicach</t>
  </si>
  <si>
    <t>Przebudowa drogi gminnej nr 689014 S w m. Biała Wielka</t>
  </si>
  <si>
    <t>Przebudowa odcinka drogi gminnej ul. Potoczki w Bażanowicach o długości około 0,77km</t>
  </si>
  <si>
    <t>Budowa dróg od Ronda Raciborskiego do skrzyżowania z ulicą Reja i do skrzyżowania z ulicą Rudzką w Żorach razem z odwodnieniem i kanałem technologicznym</t>
  </si>
  <si>
    <t>Rozbudowa drogi publicznej 490122S w sołectwach Biery i Świętoszówka w Gminie Jasienica</t>
  </si>
  <si>
    <t>Poprawa skomunikowania dróg gminnych z powiatowymi poprzez remont układu drogowego w miejscowości Cięcina</t>
  </si>
  <si>
    <t>Przebudowa drogi gminnej ul. E. Orzeszkowej w Herbach</t>
  </si>
  <si>
    <t>Przebudowa drogi gminnej ul. J. Poniatowskiego (655038S) w Imielinie</t>
  </si>
  <si>
    <t>Budowa dróg gminnych ul. Spacerowa i Grabowa i przebudowa drogi gminnej ul. Jasionek</t>
  </si>
  <si>
    <t xml:space="preserve">Przebudowa ul. Niwskiej w Boronowie wraz z oświetleniem </t>
  </si>
  <si>
    <t>Budowa łącznika ul. Kossaka wraz z przebudową ul. Kossaka, Drzymały</t>
  </si>
  <si>
    <t>Przebudowa drogi gminnej ulicy Tkackiej w m. Huta Stara A, gm Poczesna</t>
  </si>
  <si>
    <t>Przebudowa drogi gminnej ulicy Jaśminowej w m. Huta Stara B, gmina Poczesna</t>
  </si>
  <si>
    <t>Przebudowa ulicy bocznej od ul. Góreckiej w Skoczowie na odcinku od skrzyżowania z ul. Górecką do granicy z Pogórzem</t>
  </si>
  <si>
    <t>Remont fragmentu ul. Suchej, Małobądzkiej, Lwowskiej i Gospodarczej w Sosnowcu</t>
  </si>
  <si>
    <t xml:space="preserve">Przebudowa drogi gminnej - ul. Osiedlowa w Kostkowicach </t>
  </si>
  <si>
    <t>Rozbudowa ul. Śniadeckiego na odcinku od ul. Patriotów do ul. Józefa Lompy w Rybniku</t>
  </si>
  <si>
    <t>Rozbudowa ul. Astrów o drogę rowerową, na odcinku od ul. Gałeczki do "Parku Róż"</t>
  </si>
  <si>
    <t>Przebudowa drogi gminnej ul. Spacerowej w Nieborowicach</t>
  </si>
  <si>
    <t>Budowa ul. Tęczowej w Knurowie</t>
  </si>
  <si>
    <t>Budowa drogi z odwodnieniem na ul. Bocianów w Bobrownikach</t>
  </si>
  <si>
    <t xml:space="preserve">Rozbudowa drogi gminnej -  ul. Wschodnia w Ogrodzieńcu </t>
  </si>
  <si>
    <t>Przebudowa wybranych dróg gminnych na Osiedlu Ziętka: ul. Tulipanów, ul. Astrów w Łaziskach Górnych</t>
  </si>
  <si>
    <t>Przebudowa ulicy Kościuszki w Ciągowicach</t>
  </si>
  <si>
    <t>Przebudowa drogi gminnej ul. Józefa Hallera (655055S) w Imielinie</t>
  </si>
  <si>
    <t>Remont dróg gminnych ul. Fr. Kłosa i ul. Obrońców Ziemi Śląskiej w Gostyni</t>
  </si>
  <si>
    <t>Przebudowa odcinka ul. Kazimierza Brodzińskiego w Bielsku-Białej</t>
  </si>
  <si>
    <t>Budowa drogi od ul. Świerkowej w Skałce do drogi powiatowej Włodowice-Mrzygłód</t>
  </si>
  <si>
    <t>Rozbudowa ul. Zagrodowej w Pyrzowicach</t>
  </si>
  <si>
    <t>Przebudowa odcinka drogi gminnej nr 440072S ul. Plebiscytowa w Lublińcu z przebudową i rozbudową kanalizacji deszczowej, przebudowa oświetlenia ulicznego</t>
  </si>
  <si>
    <t>Budowa ul. Parkowej w Strzyżowicach</t>
  </si>
  <si>
    <t>Rozbudowa drogi gminnej 130217S - ul. Sienkiewicza w Gliwicach</t>
  </si>
  <si>
    <t>Budowa i przebudowa ul. Spacerowej oraz przebudowa ul. Wypoczynkowej w Wilkowicach w formule zaprojektuj-wybuduj</t>
  </si>
  <si>
    <t>Przebudowa drogi przy ul. ks. Tunkla i Świętochłowickiej - przebudowa ul. bp. Wilhelma Pluty w Rudzie Śląskiej</t>
  </si>
  <si>
    <t>Przebudowa wraz z remontem drogi gminnej nr 639041S w przebiegu ulic Wieluńskiej, Nowokrzepickiej w Krzepicach</t>
  </si>
  <si>
    <t>Przebudowa ul. Kościuszki w Siewierzu</t>
  </si>
  <si>
    <t>Przebudowa ulicy św. Kingi w Częstochowie</t>
  </si>
  <si>
    <t>Przebudowa drogi gminnej - ul. Słowackiego w Ogrodzieńcu - odcinek II</t>
  </si>
  <si>
    <t>Rozbudowa ul. Lipowej w Wiśle Wielkiej</t>
  </si>
  <si>
    <t>Przebudowa ul. Lotników wraz z odwodnieniem w Tarnowskich Górach</t>
  </si>
  <si>
    <t xml:space="preserve">Przebudowa ulicy Bytomskiej w Czeladzi wraz z budową kanalizacji deszczowej </t>
  </si>
  <si>
    <t>Przebudowa drogi gminnej ul. Jastrzębia w Cieszynie</t>
  </si>
  <si>
    <t>Przebudowa drogi gminnej ul. Jesionowej w Zebrzydowicach</t>
  </si>
  <si>
    <t>Remont drogi gminnej 617 011S Legiery - Pańska Łąka we wsi Koniaków</t>
  </si>
  <si>
    <t>Przebudowa drogi gminnej nr 706005S ul. Polnej w miejscowości Starcza</t>
  </si>
  <si>
    <t>Remont ul. Różanej w miejscowości Radziechowy</t>
  </si>
  <si>
    <t>Przebudowa odcinka drogi gminnej nr 470 153S ul. ks. Piotra Ściegiennego oraz odcinka drogi gminnej nr 470 152S ul. Polnej w Kłobucku</t>
  </si>
  <si>
    <t xml:space="preserve">Przebudowa drogi wewnętrznej ul. Jastrzębiej i odcinka drogi wewnętrznej ul. Sokolskiej w Bieruniu </t>
  </si>
  <si>
    <t>Przebudowa ulicy Siewierskiej oraz odcinków ulic: Królowej Jadwigi i Sikorka w Myszkowie z budową odcinków sieci kanalizacji deszczowej oraz przebudową sieci elektroenergetycznych NN</t>
  </si>
  <si>
    <t>Przebudowa wybranych dróg gminnych na Osiedlu Ziętka: ul. Sienkiewicza, ul. Konwalii w Łaziskach Górnych</t>
  </si>
  <si>
    <t>Przebudowa drogi gminnej ulicy Generała Józefa Bema w Koszęcinie</t>
  </si>
  <si>
    <t>Rozbudowa ulicy Wiosennej w Koszęcinie</t>
  </si>
  <si>
    <t>Przebudowa drogi gminnej ul. Św. Marcina w Stanicy</t>
  </si>
  <si>
    <t>Remont drogi gminnej nr 628003S ul. Górna w Aleksandrii Pierwszej</t>
  </si>
  <si>
    <t xml:space="preserve">Remont drogi gminnej 670140S - ul. Gwarnej w Bojszowach </t>
  </si>
  <si>
    <t>Przebudowa drogi gminnej ul. Harcerskiej w Strumieniu</t>
  </si>
  <si>
    <t>Remont drogi gminnej 617 025S Rastoka - we wsi Koniaków</t>
  </si>
  <si>
    <t>Remont drogi gminnej nr 673 061S - ul. Wiejskiej, drogi gminnej 673 108S - ulicy Wiejskiej oraz drogi gminnej 673059S - ulicy Stacja w miejscowości Borowiany</t>
  </si>
  <si>
    <t xml:space="preserve">Remont dróg gminnych 250026S (ul. Dąbrowskiego), 250159S (ul. Wyspiańskiego), 250114S (ul. Pułaskiego), 250025S (ul. Damrota) w Siemianowicach Śląskich </t>
  </si>
  <si>
    <t>Remont nawierzchni asfaltowej drogi gminnej ulicy Młyńskiej w Łanach</t>
  </si>
  <si>
    <t>Przebudowa drogi gminnej ul. Bukowa w Cieszynie</t>
  </si>
  <si>
    <t>Przebudowa drogi gminnej obejmującej ulicę Owocową w Wodzisławiu Śląskim</t>
  </si>
  <si>
    <t>Przebudowa ulicy Spacerowej w sołectwie Kolonii Fryderyk</t>
  </si>
  <si>
    <t>Rozbudowa ul. Braci Jędrysików w Pszczynie</t>
  </si>
  <si>
    <t>Remont drogi gminnej 670390S - ul. Żwirowej w Bojszowach</t>
  </si>
  <si>
    <t>Remont ul. Kościuszki w Orzeszu</t>
  </si>
  <si>
    <t>Remont ul. Myśliwskiej w Orzeszu-Gardawicach</t>
  </si>
  <si>
    <t>Remont nawierzchni asfaltowej drogi gminnej ulicy Regat w Niewieszu</t>
  </si>
  <si>
    <t>Budowa ul. Słowiańskiej w Bieruniu - etap II</t>
  </si>
  <si>
    <t>2409023</t>
  </si>
  <si>
    <t>2415041</t>
  </si>
  <si>
    <t>2410042</t>
  </si>
  <si>
    <t>2402052</t>
  </si>
  <si>
    <t>2403042</t>
  </si>
  <si>
    <t>2411042</t>
  </si>
  <si>
    <t>2402072</t>
  </si>
  <si>
    <t>2401031</t>
  </si>
  <si>
    <t>2404092</t>
  </si>
  <si>
    <t>2479011</t>
  </si>
  <si>
    <t>2417152</t>
  </si>
  <si>
    <t>2404132</t>
  </si>
  <si>
    <t>2403062</t>
  </si>
  <si>
    <t>2416053</t>
  </si>
  <si>
    <t>2414021</t>
  </si>
  <si>
    <t>2408052</t>
  </si>
  <si>
    <t>2416092</t>
  </si>
  <si>
    <t>2407011</t>
  </si>
  <si>
    <t>2466011</t>
  </si>
  <si>
    <t>2406023</t>
  </si>
  <si>
    <t>2401073</t>
  </si>
  <si>
    <t>2403011</t>
  </si>
  <si>
    <t>2403122</t>
  </si>
  <si>
    <t>2403092</t>
  </si>
  <si>
    <t>2417102</t>
  </si>
  <si>
    <t>2405042</t>
  </si>
  <si>
    <t>2404072</t>
  </si>
  <si>
    <t>2414042</t>
  </si>
  <si>
    <t>2403113</t>
  </si>
  <si>
    <t>2405082</t>
  </si>
  <si>
    <t>2405052</t>
  </si>
  <si>
    <t>2415062</t>
  </si>
  <si>
    <t>Żory</t>
  </si>
  <si>
    <t>żywiecki</t>
  </si>
  <si>
    <t xml:space="preserve">Rybnik </t>
  </si>
  <si>
    <t>Gliwice</t>
  </si>
  <si>
    <t>Siemianowice Śląskie</t>
  </si>
  <si>
    <t xml:space="preserve"> gliwicki</t>
  </si>
  <si>
    <t>1520/23</t>
  </si>
  <si>
    <t>1513/23</t>
  </si>
  <si>
    <t>1475/23</t>
  </si>
  <si>
    <t>1435/23</t>
  </si>
  <si>
    <t>1451/23</t>
  </si>
  <si>
    <t>1418/23</t>
  </si>
  <si>
    <t>1446/23</t>
  </si>
  <si>
    <t>1424/23</t>
  </si>
  <si>
    <t>1527/23</t>
  </si>
  <si>
    <t>1483/23</t>
  </si>
  <si>
    <t>1476/23</t>
  </si>
  <si>
    <t>1528/23</t>
  </si>
  <si>
    <t>1485/23</t>
  </si>
  <si>
    <t>1444/23</t>
  </si>
  <si>
    <t>1426/23</t>
  </si>
  <si>
    <t>1526/23</t>
  </si>
  <si>
    <t>1470/23</t>
  </si>
  <si>
    <t>1471/23</t>
  </si>
  <si>
    <t>1477/23</t>
  </si>
  <si>
    <t>1469/23</t>
  </si>
  <si>
    <t>1422/23</t>
  </si>
  <si>
    <t>1492/23</t>
  </si>
  <si>
    <t>1506/23</t>
  </si>
  <si>
    <t>1507/23</t>
  </si>
  <si>
    <t>1482/23</t>
  </si>
  <si>
    <t>1517/23</t>
  </si>
  <si>
    <t>1472/23</t>
  </si>
  <si>
    <t>1442/23</t>
  </si>
  <si>
    <t>1459/23</t>
  </si>
  <si>
    <t>1460/23</t>
  </si>
  <si>
    <t>1524/23</t>
  </si>
  <si>
    <t>1480/23</t>
  </si>
  <si>
    <t>1423/23</t>
  </si>
  <si>
    <t>1488/23</t>
  </si>
  <si>
    <t>1454/23</t>
  </si>
  <si>
    <t>1404/23</t>
  </si>
  <si>
    <t>1445/23</t>
  </si>
  <si>
    <t>1432/23</t>
  </si>
  <si>
    <t>1466/23</t>
  </si>
  <si>
    <t>1409/23</t>
  </si>
  <si>
    <t>1525/23</t>
  </si>
  <si>
    <t>1515/23</t>
  </si>
  <si>
    <t>1452/23</t>
  </si>
  <si>
    <t>1531/23</t>
  </si>
  <si>
    <t>1431/23</t>
  </si>
  <si>
    <t>1439/23</t>
  </si>
  <si>
    <t>1495/23</t>
  </si>
  <si>
    <t>1490/23</t>
  </si>
  <si>
    <t>1413/12</t>
  </si>
  <si>
    <t>1412/23</t>
  </si>
  <si>
    <t>1443/23</t>
  </si>
  <si>
    <t>1530/23</t>
  </si>
  <si>
    <t>1529/23</t>
  </si>
  <si>
    <t>1494/23</t>
  </si>
  <si>
    <t>1479/23</t>
  </si>
  <si>
    <t>1532/23</t>
  </si>
  <si>
    <t>1455/23</t>
  </si>
  <si>
    <t>1430/23</t>
  </si>
  <si>
    <t>1511/23</t>
  </si>
  <si>
    <t>1474/23</t>
  </si>
  <si>
    <t>1416/23</t>
  </si>
  <si>
    <t>1533/23</t>
  </si>
  <si>
    <t>1496/23</t>
  </si>
  <si>
    <t>1402/23</t>
  </si>
  <si>
    <t>1401/23</t>
  </si>
  <si>
    <t>1512/23</t>
  </si>
  <si>
    <t>1501/23</t>
  </si>
  <si>
    <t>kwiecień 2024-październik 2024</t>
  </si>
  <si>
    <t>marzec 2024-grudzień 2026</t>
  </si>
  <si>
    <t>luty 2024-październik 2025</t>
  </si>
  <si>
    <t>listopad 2024-listopad 2026</t>
  </si>
  <si>
    <t>styczeń 2024-październik 2025</t>
  </si>
  <si>
    <t>sierpień 2024-listopad 2025</t>
  </si>
  <si>
    <t>kwiecień 2024-wrzesień 2026</t>
  </si>
  <si>
    <t>lipiec 2024-grudzień 2025</t>
  </si>
  <si>
    <t>marzec 2024-listopad 2025</t>
  </si>
  <si>
    <t>marzec 2024-listopad 2024</t>
  </si>
  <si>
    <t>marzec 2024-styczeń 2026</t>
  </si>
  <si>
    <t>styczeń 2024-listopad 2024</t>
  </si>
  <si>
    <t>wrzesień 2024-sierpień 2025</t>
  </si>
  <si>
    <t>czerwiec 2024-lipiec 2025</t>
  </si>
  <si>
    <t>kwiecień 2024-listopad 2024</t>
  </si>
  <si>
    <t>luty 2024-grudzień 2024</t>
  </si>
  <si>
    <t>maj 2024-grudzień 2026</t>
  </si>
  <si>
    <t>kwiecień 2024-wrzesień 2024</t>
  </si>
  <si>
    <t>kwiecień 2024-sierpień 2024</t>
  </si>
  <si>
    <t>styczeń 2024-październik 2024</t>
  </si>
  <si>
    <t>maj 2024-październik 2024</t>
  </si>
  <si>
    <t>1448/23*</t>
  </si>
  <si>
    <t>1499/23*</t>
  </si>
  <si>
    <t>1464/23*</t>
  </si>
  <si>
    <t>1518/23*</t>
  </si>
  <si>
    <t>1449/23*</t>
  </si>
  <si>
    <t>1500/23*</t>
  </si>
  <si>
    <t>1484/23*</t>
  </si>
  <si>
    <t>1450/23*</t>
  </si>
  <si>
    <t>1493/23*</t>
  </si>
  <si>
    <t>1421/23*</t>
  </si>
  <si>
    <t>1498/23*</t>
  </si>
  <si>
    <t>1438/23*</t>
  </si>
  <si>
    <t>1403/23*</t>
  </si>
  <si>
    <t>1516/23*</t>
  </si>
  <si>
    <t>GMINA RUDZINIEC</t>
  </si>
  <si>
    <t>Przebudowa drogi gminnej ul. Potoczki w Bażanowicach o długości 0,77 km</t>
  </si>
  <si>
    <t>1534/23</t>
  </si>
  <si>
    <t>1427/23</t>
  </si>
  <si>
    <t>1405/23</t>
  </si>
  <si>
    <t>1465/23</t>
  </si>
  <si>
    <t>1436/23</t>
  </si>
  <si>
    <t>1437/23</t>
  </si>
  <si>
    <t>GMINA GOLESZÓW (rezygnacja Wnioskodawcy z realizacji zadania)</t>
  </si>
  <si>
    <t>GMINA LUBLINIEC (rezygnacja Wnioskodawcy z realizacji zadania)</t>
  </si>
  <si>
    <t>MIASTO RYBNIK (Rezygnacja wnioskodawcy z realizacji zadania)</t>
  </si>
  <si>
    <t>POWIAT RYBNICKI (Rezygnacja wnioskodawcy z realizacji zadania)</t>
  </si>
  <si>
    <t>POWIAT GLIWICKI (Rezygnacja wnioskodawcy z realizacji zadania)</t>
  </si>
  <si>
    <t>1429/23</t>
  </si>
  <si>
    <t>1473/23</t>
  </si>
  <si>
    <t>listopad 2023-grudzień 2024</t>
  </si>
  <si>
    <t>POWIAT ZAWIERCIAŃSKI (rezygnacja Wnioskodawcy z realizacji zadania)</t>
  </si>
  <si>
    <t>2408031</t>
  </si>
  <si>
    <t>Budowa odcinka ul. Zacisze w Orzeszu-Zawiści wraz z oświetleniem</t>
  </si>
  <si>
    <t>listopad 2023 - listopad 2025</t>
  </si>
  <si>
    <t>GMINA ORZESZE  (rezygnacja Wnioskodawcy z realizacji zadania)</t>
  </si>
  <si>
    <t>Kwota dofinansowania ogółem</t>
  </si>
  <si>
    <t>1497/23*</t>
  </si>
  <si>
    <t>945/22</t>
  </si>
  <si>
    <t>1012/22</t>
  </si>
  <si>
    <t>976/22</t>
  </si>
  <si>
    <t>992/22</t>
  </si>
  <si>
    <t>1006/22</t>
  </si>
  <si>
    <t>GMINA BRENNA (rezygnacja Wnioskodawcy z realizacji zadania)</t>
  </si>
  <si>
    <t>MIASTO CHORZÓW (rezygnacja Wnioskodawcy z realizacji zadania)</t>
  </si>
  <si>
    <t>Remont ciągu dróg gminnych ul. Gwiezdna (nr 628059S), ul. Księżycowa (nr 628010S), ul. Graniczna (nr 628049S) w Aleksandrii Drugiej</t>
  </si>
  <si>
    <t>Przebudowa drogi gminnej ul. Spokojnej oraz ul. Emila Cyrana w Lublińcu wraz z przebudową i rozbudową kanalizacji deszczowej, przebudową obiektu mostowego na rzece Lublinicy w ramach zadania inwestycyjnego pn: "Przebudowa układu drogowego na terenie Gminy Luliniec - etap II "</t>
  </si>
  <si>
    <t>kwiecień 2024-lipiec 2024</t>
  </si>
  <si>
    <t>marzec 2024-wrzesień 2024</t>
  </si>
  <si>
    <t>1407/23</t>
  </si>
  <si>
    <t>1440/23</t>
  </si>
  <si>
    <t>marzec 2024-sierpień 2025</t>
  </si>
  <si>
    <t>maj 2024 - kwiecień 2025</t>
  </si>
  <si>
    <t>kwiecień 2024 - wrzesień 2024</t>
  </si>
  <si>
    <t>kwiecień 2024 - marzec 2025</t>
  </si>
  <si>
    <t>maj 2024-grudzień 2024</t>
  </si>
  <si>
    <t>maj 2024-grudzien 2024</t>
  </si>
  <si>
    <t>kwiecień 2024-grudzień 2026</t>
  </si>
  <si>
    <t>sierpień 2024 - lipiec 2025</t>
  </si>
  <si>
    <t>GMINA MIEDŹNO (rezygnacja Wnioskodawcy z realizacji zadania)</t>
  </si>
  <si>
    <t>marzec 2024 - grudzień 2024</t>
  </si>
  <si>
    <t>GMINA MYSZKÓW (rezygnacja Wnioskodawcy z realizacji zadania)</t>
  </si>
  <si>
    <t>1461/23</t>
  </si>
  <si>
    <t>GMINA CIESZYN (rezygnacja Wnioskodawcy z realizacji zadania)</t>
  </si>
  <si>
    <t>1456/23</t>
  </si>
  <si>
    <t>GMINA CIESZYN  (rezygnacja Wnioskodawcy z realizacji zadania)</t>
  </si>
  <si>
    <t>1457/23</t>
  </si>
  <si>
    <t>GMINA OŻAROWICE  (rezygnacja Wnioskodawcy z realizacji zadania)</t>
  </si>
  <si>
    <t>1428/23</t>
  </si>
  <si>
    <t>1508/23</t>
  </si>
  <si>
    <t>1462/23</t>
  </si>
  <si>
    <t>1463/23</t>
  </si>
  <si>
    <t>lipiec 2024-kwiecień 2027</t>
  </si>
  <si>
    <t>kwiecień 2024-luty 2025</t>
  </si>
  <si>
    <t>sierpień 2024-październik 2025</t>
  </si>
  <si>
    <t>GMINA CIASNA (rezygnacja Wnioskodawcy z realizacji zadania)</t>
  </si>
  <si>
    <t>kwiecień 2024-październik 2025</t>
  </si>
  <si>
    <t>GMINA ŁAZISKA GÓRNE (rezygnacja Wnioskodawcy z realizacji zadania)</t>
  </si>
  <si>
    <t>czerwiec 2024-sierpień 2024</t>
  </si>
  <si>
    <t>sierpień 2024-lipiec 2025</t>
  </si>
  <si>
    <t>Lista zmieniona nr 8 zadań powiatowych i zadań gminnych rekomendowanych do dofinansowania w ramach Rządowego Funduszu Rozwoju Dróg</t>
  </si>
  <si>
    <t>marzec 2024-czerwiec 2024</t>
  </si>
  <si>
    <t>marzec 2021 - grudzień 2026</t>
  </si>
  <si>
    <t>marzec 2024-
czerwiec 2024</t>
  </si>
  <si>
    <t>kwiecień 2024-lipiec 2025</t>
  </si>
  <si>
    <t>kwiecień 2024-maj 2025</t>
  </si>
  <si>
    <t>1467/23</t>
  </si>
  <si>
    <t>1468/23</t>
  </si>
  <si>
    <t>ZATWIERDZAM
Dorota Wójtowicz
z up. WOJEWODY ŚLĄSKIEGO
-podpisano elektronicznym podpisem kwalifikowanym-
Katowice, 19 lipca 2024 r.</t>
  </si>
  <si>
    <t>1441/23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</si>
</sst>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\ _z_ł_-;\-* #,##0.00\ _z_ł_-;_-* &quot;-&quot;??\ _z_ł_-;_-@_-"/>
    <numFmt numFmtId="164" formatCode="0.0000"/>
    <numFmt numFmtId="165" formatCode="#,##0.00\ &quot;zł&quot;"/>
    <numFmt numFmtId="166" formatCode="#,##0.000"/>
  </numFmts>
  <fonts count="3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b/>
      <vertAlign val="superscript"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  <charset val="238"/>
    </font>
    <font>
      <b/>
      <sz val="14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8"/>
      <color theme="5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color rgb="FFFF0000"/>
      <name val="Times New Roman"/>
      <family val="1"/>
      <charset val="238"/>
    </font>
    <font>
      <b/>
      <sz val="10"/>
      <color theme="9"/>
      <name val="Times New Roman"/>
      <family val="1"/>
      <charset val="238"/>
    </font>
    <font>
      <sz val="9"/>
      <name val="Arial"/>
      <family val="2"/>
      <charset val="238"/>
    </font>
    <font>
      <sz val="9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theme="4" tint="-0.499984740745262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color rgb="FFFF0000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indexed="8"/>
      <name val="Arial CE"/>
      <family val="2"/>
      <charset val="238"/>
    </font>
    <font>
      <b/>
      <sz val="11"/>
      <name val="Times New Roman"/>
      <family val="1"/>
      <charset val="238"/>
    </font>
    <font>
      <sz val="8"/>
      <color rgb="FFFF000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4" fillId="0" borderId="0"/>
    <xf numFmtId="0" fontId="35" fillId="0" borderId="0"/>
    <xf numFmtId="0" fontId="3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0" fontId="6" fillId="0" borderId="0"/>
    <xf numFmtId="9" fontId="6" fillId="0" borderId="0" applyFont="0" applyFill="0" applyBorder="0" applyAlignment="0" applyProtection="0"/>
    <xf numFmtId="0" fontId="1" fillId="0" borderId="0"/>
    <xf numFmtId="43" fontId="6" fillId="0" borderId="0" applyFont="0" applyFill="0" applyBorder="0" applyAlignment="0" applyProtection="0"/>
  </cellStyleXfs>
  <cellXfs count="36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/>
    <xf numFmtId="0" fontId="0" fillId="0" borderId="0" xfId="0" applyFill="1"/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wrapText="1"/>
    </xf>
    <xf numFmtId="0" fontId="10" fillId="0" borderId="0" xfId="0" applyFont="1"/>
    <xf numFmtId="0" fontId="11" fillId="0" borderId="0" xfId="0" applyFont="1" applyAlignment="1">
      <alignment vertical="center"/>
    </xf>
    <xf numFmtId="0" fontId="11" fillId="0" borderId="0" xfId="0" applyFont="1"/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0" fontId="13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2" fillId="0" borderId="0" xfId="0" applyFont="1" applyAlignment="1"/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4" fontId="0" fillId="0" borderId="0" xfId="0" applyNumberFormat="1" applyFill="1" applyBorder="1" applyAlignment="1">
      <alignment vertical="center"/>
    </xf>
    <xf numFmtId="4" fontId="11" fillId="0" borderId="0" xfId="0" applyNumberFormat="1" applyFont="1" applyFill="1" applyBorder="1" applyAlignment="1"/>
    <xf numFmtId="4" fontId="11" fillId="0" borderId="0" xfId="0" applyNumberFormat="1" applyFont="1" applyBorder="1" applyAlignment="1"/>
    <xf numFmtId="0" fontId="11" fillId="0" borderId="0" xfId="0" applyFont="1" applyBorder="1"/>
    <xf numFmtId="4" fontId="12" fillId="0" borderId="0" xfId="0" applyNumberFormat="1" applyFont="1" applyFill="1" applyBorder="1" applyAlignment="1"/>
    <xf numFmtId="4" fontId="12" fillId="0" borderId="0" xfId="0" applyNumberFormat="1" applyFont="1" applyBorder="1" applyAlignment="1"/>
    <xf numFmtId="0" fontId="2" fillId="0" borderId="0" xfId="0" applyFont="1"/>
    <xf numFmtId="4" fontId="12" fillId="0" borderId="0" xfId="0" applyNumberFormat="1" applyFont="1" applyFill="1" applyBorder="1" applyAlignment="1">
      <alignment vertical="top"/>
    </xf>
    <xf numFmtId="4" fontId="12" fillId="0" borderId="0" xfId="0" applyNumberFormat="1" applyFont="1" applyBorder="1" applyAlignment="1">
      <alignment vertical="top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17" fillId="0" borderId="0" xfId="1" applyFont="1" applyFill="1" applyAlignment="1">
      <alignment vertical="center"/>
    </xf>
    <xf numFmtId="0" fontId="16" fillId="0" borderId="0" xfId="1" applyFont="1" applyFill="1" applyAlignment="1">
      <alignment vertical="center"/>
    </xf>
    <xf numFmtId="4" fontId="0" fillId="0" borderId="0" xfId="0" applyNumberForma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 shrinkToFit="1"/>
    </xf>
    <xf numFmtId="0" fontId="18" fillId="0" borderId="0" xfId="0" applyFont="1" applyAlignment="1">
      <alignment vertical="center"/>
    </xf>
    <xf numFmtId="4" fontId="11" fillId="0" borderId="0" xfId="0" applyNumberFormat="1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9" fontId="0" fillId="0" borderId="0" xfId="2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19" fillId="0" borderId="0" xfId="0" applyFont="1" applyFill="1" applyAlignment="1">
      <alignment vertical="center"/>
    </xf>
    <xf numFmtId="4" fontId="19" fillId="0" borderId="0" xfId="0" applyNumberFormat="1" applyFont="1" applyFill="1" applyAlignment="1">
      <alignment vertical="center"/>
    </xf>
    <xf numFmtId="4" fontId="8" fillId="0" borderId="2" xfId="0" applyNumberFormat="1" applyFont="1" applyFill="1" applyBorder="1" applyAlignment="1">
      <alignment vertical="center"/>
    </xf>
    <xf numFmtId="4" fontId="8" fillId="0" borderId="1" xfId="0" applyNumberFormat="1" applyFont="1" applyFill="1" applyBorder="1" applyAlignment="1">
      <alignment vertical="center"/>
    </xf>
    <xf numFmtId="165" fontId="14" fillId="5" borderId="23" xfId="0" applyNumberFormat="1" applyFont="1" applyFill="1" applyBorder="1" applyAlignment="1">
      <alignment vertical="center"/>
    </xf>
    <xf numFmtId="165" fontId="20" fillId="5" borderId="23" xfId="0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0" fontId="23" fillId="0" borderId="1" xfId="0" applyFont="1" applyFill="1" applyBorder="1" applyAlignment="1">
      <alignment vertical="center"/>
    </xf>
    <xf numFmtId="0" fontId="22" fillId="0" borderId="1" xfId="0" applyFont="1" applyFill="1" applyBorder="1" applyAlignment="1">
      <alignment vertical="center" wrapText="1"/>
    </xf>
    <xf numFmtId="0" fontId="22" fillId="0" borderId="2" xfId="0" applyFont="1" applyFill="1" applyBorder="1" applyAlignment="1">
      <alignment vertical="center" wrapText="1"/>
    </xf>
    <xf numFmtId="49" fontId="22" fillId="0" borderId="1" xfId="0" applyNumberFormat="1" applyFont="1" applyFill="1" applyBorder="1" applyAlignment="1">
      <alignment vertical="center" wrapText="1"/>
    </xf>
    <xf numFmtId="166" fontId="22" fillId="0" borderId="1" xfId="0" applyNumberFormat="1" applyFont="1" applyFill="1" applyBorder="1" applyAlignment="1">
      <alignment vertical="center"/>
    </xf>
    <xf numFmtId="164" fontId="22" fillId="0" borderId="1" xfId="0" applyNumberFormat="1" applyFont="1" applyFill="1" applyBorder="1" applyAlignment="1">
      <alignment vertical="center" wrapText="1"/>
    </xf>
    <xf numFmtId="4" fontId="8" fillId="0" borderId="1" xfId="0" applyNumberFormat="1" applyFont="1" applyFill="1" applyBorder="1" applyAlignment="1">
      <alignment vertical="center" wrapText="1"/>
    </xf>
    <xf numFmtId="9" fontId="22" fillId="0" borderId="1" xfId="0" applyNumberFormat="1" applyFont="1" applyFill="1" applyBorder="1" applyAlignment="1">
      <alignment vertical="center"/>
    </xf>
    <xf numFmtId="0" fontId="22" fillId="0" borderId="1" xfId="0" applyFont="1" applyFill="1" applyBorder="1" applyAlignment="1">
      <alignment vertical="center"/>
    </xf>
    <xf numFmtId="4" fontId="8" fillId="0" borderId="1" xfId="0" applyNumberFormat="1" applyFont="1" applyFill="1" applyBorder="1" applyAlignment="1">
      <alignment horizontal="right" vertical="center"/>
    </xf>
    <xf numFmtId="4" fontId="8" fillId="0" borderId="2" xfId="0" applyNumberFormat="1" applyFont="1" applyFill="1" applyBorder="1" applyAlignment="1">
      <alignment horizontal="right" vertical="center"/>
    </xf>
    <xf numFmtId="4" fontId="8" fillId="0" borderId="1" xfId="0" applyNumberFormat="1" applyFont="1" applyFill="1" applyBorder="1" applyAlignment="1">
      <alignment horizontal="right" vertical="center" wrapText="1"/>
    </xf>
    <xf numFmtId="0" fontId="22" fillId="0" borderId="1" xfId="0" applyFont="1" applyFill="1" applyBorder="1" applyAlignment="1">
      <alignment horizontal="right" vertical="center" wrapText="1"/>
    </xf>
    <xf numFmtId="0" fontId="22" fillId="0" borderId="2" xfId="0" applyFont="1" applyFill="1" applyBorder="1" applyAlignment="1">
      <alignment horizontal="right" vertical="center" wrapText="1"/>
    </xf>
    <xf numFmtId="49" fontId="22" fillId="0" borderId="1" xfId="0" applyNumberFormat="1" applyFont="1" applyFill="1" applyBorder="1" applyAlignment="1">
      <alignment horizontal="right" vertical="center" wrapText="1"/>
    </xf>
    <xf numFmtId="166" fontId="22" fillId="0" borderId="1" xfId="0" applyNumberFormat="1" applyFont="1" applyFill="1" applyBorder="1" applyAlignment="1">
      <alignment horizontal="right" vertical="center"/>
    </xf>
    <xf numFmtId="164" fontId="22" fillId="0" borderId="1" xfId="0" applyNumberFormat="1" applyFont="1" applyFill="1" applyBorder="1" applyAlignment="1">
      <alignment horizontal="right" vertical="center" wrapText="1"/>
    </xf>
    <xf numFmtId="9" fontId="22" fillId="0" borderId="1" xfId="0" applyNumberFormat="1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right" vertical="center" wrapText="1"/>
    </xf>
    <xf numFmtId="166" fontId="26" fillId="2" borderId="1" xfId="0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4" fontId="25" fillId="0" borderId="1" xfId="0" applyNumberFormat="1" applyFont="1" applyFill="1" applyBorder="1" applyAlignment="1">
      <alignment horizontal="right" vertical="center" wrapText="1"/>
    </xf>
    <xf numFmtId="4" fontId="25" fillId="0" borderId="1" xfId="0" applyNumberFormat="1" applyFont="1" applyBorder="1" applyAlignment="1">
      <alignment horizontal="right" vertical="center" wrapText="1"/>
    </xf>
    <xf numFmtId="9" fontId="26" fillId="2" borderId="1" xfId="0" applyNumberFormat="1" applyFont="1" applyFill="1" applyBorder="1" applyAlignment="1">
      <alignment horizontal="center" vertical="center"/>
    </xf>
    <xf numFmtId="166" fontId="27" fillId="2" borderId="1" xfId="0" applyNumberFormat="1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4" fontId="27" fillId="0" borderId="1" xfId="0" applyNumberFormat="1" applyFont="1" applyFill="1" applyBorder="1" applyAlignment="1">
      <alignment horizontal="right" vertical="center" wrapText="1"/>
    </xf>
    <xf numFmtId="4" fontId="27" fillId="0" borderId="1" xfId="0" applyNumberFormat="1" applyFont="1" applyBorder="1" applyAlignment="1">
      <alignment horizontal="right" vertical="center" wrapText="1"/>
    </xf>
    <xf numFmtId="9" fontId="27" fillId="2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right" vertical="center" wrapText="1"/>
    </xf>
    <xf numFmtId="49" fontId="17" fillId="0" borderId="1" xfId="0" applyNumberFormat="1" applyFont="1" applyFill="1" applyBorder="1" applyAlignment="1">
      <alignment horizontal="right" vertical="center" wrapText="1"/>
    </xf>
    <xf numFmtId="166" fontId="17" fillId="0" borderId="1" xfId="0" applyNumberFormat="1" applyFont="1" applyFill="1" applyBorder="1" applyAlignment="1">
      <alignment horizontal="right" vertical="center"/>
    </xf>
    <xf numFmtId="164" fontId="17" fillId="0" borderId="1" xfId="0" applyNumberFormat="1" applyFont="1" applyFill="1" applyBorder="1" applyAlignment="1">
      <alignment horizontal="right" vertical="center" wrapText="1"/>
    </xf>
    <xf numFmtId="4" fontId="26" fillId="0" borderId="1" xfId="0" applyNumberFormat="1" applyFont="1" applyFill="1" applyBorder="1" applyAlignment="1">
      <alignment horizontal="right" vertical="center"/>
    </xf>
    <xf numFmtId="4" fontId="26" fillId="0" borderId="1" xfId="0" applyNumberFormat="1" applyFont="1" applyFill="1" applyBorder="1" applyAlignment="1">
      <alignment horizontal="right" vertical="center" wrapText="1"/>
    </xf>
    <xf numFmtId="9" fontId="17" fillId="0" borderId="1" xfId="0" applyNumberFormat="1" applyFont="1" applyFill="1" applyBorder="1" applyAlignment="1">
      <alignment horizontal="right" vertical="center"/>
    </xf>
    <xf numFmtId="0" fontId="26" fillId="0" borderId="1" xfId="0" applyFont="1" applyFill="1" applyBorder="1" applyAlignment="1">
      <alignment horizontal="right" vertical="center" wrapText="1"/>
    </xf>
    <xf numFmtId="4" fontId="25" fillId="0" borderId="1" xfId="0" applyNumberFormat="1" applyFont="1" applyBorder="1" applyAlignment="1">
      <alignment vertical="center" wrapText="1"/>
    </xf>
    <xf numFmtId="4" fontId="27" fillId="0" borderId="1" xfId="0" applyNumberFormat="1" applyFont="1" applyBorder="1" applyAlignment="1">
      <alignment vertical="center" wrapText="1"/>
    </xf>
    <xf numFmtId="165" fontId="20" fillId="3" borderId="1" xfId="0" applyNumberFormat="1" applyFont="1" applyFill="1" applyBorder="1" applyAlignment="1">
      <alignment vertical="center"/>
    </xf>
    <xf numFmtId="165" fontId="14" fillId="4" borderId="1" xfId="0" applyNumberFormat="1" applyFont="1" applyFill="1" applyBorder="1" applyAlignment="1">
      <alignment vertical="center"/>
    </xf>
    <xf numFmtId="165" fontId="15" fillId="6" borderId="1" xfId="0" applyNumberFormat="1" applyFont="1" applyFill="1" applyBorder="1" applyAlignment="1">
      <alignment vertical="center"/>
    </xf>
    <xf numFmtId="165" fontId="14" fillId="3" borderId="1" xfId="0" applyNumberFormat="1" applyFont="1" applyFill="1" applyBorder="1" applyAlignment="1">
      <alignment vertical="center"/>
    </xf>
    <xf numFmtId="0" fontId="12" fillId="0" borderId="18" xfId="0" applyFont="1" applyFill="1" applyBorder="1" applyAlignment="1">
      <alignment vertical="center"/>
    </xf>
    <xf numFmtId="0" fontId="12" fillId="0" borderId="18" xfId="0" applyFont="1" applyFill="1" applyBorder="1" applyAlignment="1">
      <alignment horizontal="center" vertical="center"/>
    </xf>
    <xf numFmtId="0" fontId="2" fillId="0" borderId="24" xfId="0" applyFont="1" applyBorder="1" applyAlignment="1">
      <alignment vertical="center"/>
    </xf>
    <xf numFmtId="165" fontId="14" fillId="4" borderId="22" xfId="0" applyNumberFormat="1" applyFont="1" applyFill="1" applyBorder="1" applyAlignment="1">
      <alignment vertical="center"/>
    </xf>
    <xf numFmtId="0" fontId="20" fillId="3" borderId="3" xfId="0" applyNumberFormat="1" applyFont="1" applyFill="1" applyBorder="1" applyAlignment="1">
      <alignment vertical="center"/>
    </xf>
    <xf numFmtId="0" fontId="14" fillId="3" borderId="3" xfId="0" applyNumberFormat="1" applyFont="1" applyFill="1" applyBorder="1" applyAlignment="1">
      <alignment vertical="center"/>
    </xf>
    <xf numFmtId="0" fontId="14" fillId="4" borderId="3" xfId="0" applyNumberFormat="1" applyFont="1" applyFill="1" applyBorder="1" applyAlignment="1">
      <alignment vertical="center"/>
    </xf>
    <xf numFmtId="0" fontId="15" fillId="6" borderId="3" xfId="0" applyNumberFormat="1" applyFont="1" applyFill="1" applyBorder="1" applyAlignment="1">
      <alignment vertical="center"/>
    </xf>
    <xf numFmtId="0" fontId="14" fillId="4" borderId="23" xfId="0" applyFont="1" applyFill="1" applyBorder="1" applyAlignment="1">
      <alignment horizontal="left" vertical="center" indent="2"/>
    </xf>
    <xf numFmtId="165" fontId="20" fillId="3" borderId="2" xfId="0" applyNumberFormat="1" applyFont="1" applyFill="1" applyBorder="1" applyAlignment="1">
      <alignment vertical="center"/>
    </xf>
    <xf numFmtId="165" fontId="14" fillId="3" borderId="2" xfId="0" applyNumberFormat="1" applyFont="1" applyFill="1" applyBorder="1" applyAlignment="1">
      <alignment vertical="center"/>
    </xf>
    <xf numFmtId="165" fontId="14" fillId="4" borderId="2" xfId="0" applyNumberFormat="1" applyFont="1" applyFill="1" applyBorder="1" applyAlignment="1">
      <alignment vertical="center"/>
    </xf>
    <xf numFmtId="165" fontId="15" fillId="6" borderId="2" xfId="0" applyNumberFormat="1" applyFont="1" applyFill="1" applyBorder="1" applyAlignment="1">
      <alignment vertical="center"/>
    </xf>
    <xf numFmtId="0" fontId="12" fillId="0" borderId="21" xfId="0" applyFont="1" applyFill="1" applyBorder="1" applyAlignment="1">
      <alignment vertical="center"/>
    </xf>
    <xf numFmtId="165" fontId="20" fillId="3" borderId="3" xfId="0" applyNumberFormat="1" applyFont="1" applyFill="1" applyBorder="1" applyAlignment="1">
      <alignment vertical="center"/>
    </xf>
    <xf numFmtId="165" fontId="14" fillId="3" borderId="3" xfId="0" applyNumberFormat="1" applyFont="1" applyFill="1" applyBorder="1" applyAlignment="1">
      <alignment vertical="center"/>
    </xf>
    <xf numFmtId="165" fontId="14" fillId="4" borderId="3" xfId="0" applyNumberFormat="1" applyFont="1" applyFill="1" applyBorder="1" applyAlignment="1">
      <alignment vertical="center"/>
    </xf>
    <xf numFmtId="165" fontId="15" fillId="6" borderId="3" xfId="0" applyNumberFormat="1" applyFont="1" applyFill="1" applyBorder="1" applyAlignment="1">
      <alignment vertical="center"/>
    </xf>
    <xf numFmtId="165" fontId="15" fillId="5" borderId="23" xfId="0" applyNumberFormat="1" applyFont="1" applyFill="1" applyBorder="1" applyAlignment="1">
      <alignment vertical="center"/>
    </xf>
    <xf numFmtId="0" fontId="12" fillId="0" borderId="26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4" fillId="0" borderId="31" xfId="0" applyFont="1" applyFill="1" applyBorder="1" applyAlignment="1">
      <alignment vertical="center"/>
    </xf>
    <xf numFmtId="0" fontId="14" fillId="0" borderId="32" xfId="0" applyNumberFormat="1" applyFont="1" applyFill="1" applyBorder="1" applyAlignment="1">
      <alignment vertical="center"/>
    </xf>
    <xf numFmtId="165" fontId="14" fillId="0" borderId="33" xfId="0" applyNumberFormat="1" applyFont="1" applyFill="1" applyBorder="1" applyAlignment="1">
      <alignment vertical="center"/>
    </xf>
    <xf numFmtId="165" fontId="14" fillId="0" borderId="34" xfId="0" applyNumberFormat="1" applyFont="1" applyFill="1" applyBorder="1" applyAlignment="1">
      <alignment vertical="center"/>
    </xf>
    <xf numFmtId="165" fontId="14" fillId="5" borderId="35" xfId="0" applyNumberFormat="1" applyFont="1" applyFill="1" applyBorder="1" applyAlignment="1">
      <alignment vertical="center"/>
    </xf>
    <xf numFmtId="165" fontId="14" fillId="0" borderId="32" xfId="0" applyNumberFormat="1" applyFont="1" applyFill="1" applyBorder="1" applyAlignment="1">
      <alignment vertical="center"/>
    </xf>
    <xf numFmtId="165" fontId="14" fillId="0" borderId="36" xfId="0" applyNumberFormat="1" applyFont="1" applyFill="1" applyBorder="1" applyAlignment="1">
      <alignment vertical="center"/>
    </xf>
    <xf numFmtId="0" fontId="20" fillId="0" borderId="37" xfId="0" applyFont="1" applyFill="1" applyBorder="1" applyAlignment="1">
      <alignment horizontal="left" vertical="center" wrapText="1" indent="2"/>
    </xf>
    <xf numFmtId="0" fontId="14" fillId="0" borderId="37" xfId="0" applyFont="1" applyFill="1" applyBorder="1" applyAlignment="1">
      <alignment horizontal="left" vertical="center" indent="2"/>
    </xf>
    <xf numFmtId="0" fontId="20" fillId="0" borderId="39" xfId="0" applyFont="1" applyFill="1" applyBorder="1" applyAlignment="1">
      <alignment horizontal="left" vertical="center" indent="2"/>
    </xf>
    <xf numFmtId="165" fontId="20" fillId="5" borderId="43" xfId="0" applyNumberFormat="1" applyFont="1" applyFill="1" applyBorder="1" applyAlignment="1">
      <alignment vertical="center"/>
    </xf>
    <xf numFmtId="0" fontId="21" fillId="3" borderId="31" xfId="0" applyFont="1" applyFill="1" applyBorder="1" applyAlignment="1">
      <alignment vertical="center"/>
    </xf>
    <xf numFmtId="0" fontId="21" fillId="3" borderId="32" xfId="0" applyNumberFormat="1" applyFont="1" applyFill="1" applyBorder="1" applyAlignment="1">
      <alignment vertical="center"/>
    </xf>
    <xf numFmtId="165" fontId="21" fillId="3" borderId="33" xfId="0" applyNumberFormat="1" applyFont="1" applyFill="1" applyBorder="1" applyAlignment="1">
      <alignment vertical="center"/>
    </xf>
    <xf numFmtId="165" fontId="21" fillId="3" borderId="34" xfId="0" applyNumberFormat="1" applyFont="1" applyFill="1" applyBorder="1" applyAlignment="1">
      <alignment vertical="center"/>
    </xf>
    <xf numFmtId="165" fontId="21" fillId="5" borderId="35" xfId="0" applyNumberFormat="1" applyFont="1" applyFill="1" applyBorder="1" applyAlignment="1">
      <alignment vertical="center"/>
    </xf>
    <xf numFmtId="165" fontId="21" fillId="3" borderId="32" xfId="0" applyNumberFormat="1" applyFont="1" applyFill="1" applyBorder="1" applyAlignment="1">
      <alignment vertical="center"/>
    </xf>
    <xf numFmtId="165" fontId="21" fillId="3" borderId="36" xfId="0" applyNumberFormat="1" applyFont="1" applyFill="1" applyBorder="1" applyAlignment="1">
      <alignment vertical="center"/>
    </xf>
    <xf numFmtId="0" fontId="20" fillId="3" borderId="37" xfId="0" applyFont="1" applyFill="1" applyBorder="1" applyAlignment="1">
      <alignment horizontal="left" vertical="center" wrapText="1" indent="2"/>
    </xf>
    <xf numFmtId="165" fontId="20" fillId="3" borderId="38" xfId="0" applyNumberFormat="1" applyFont="1" applyFill="1" applyBorder="1" applyAlignment="1">
      <alignment vertical="center"/>
    </xf>
    <xf numFmtId="0" fontId="14" fillId="3" borderId="37" xfId="0" applyFont="1" applyFill="1" applyBorder="1" applyAlignment="1">
      <alignment horizontal="left" vertical="center" indent="2"/>
    </xf>
    <xf numFmtId="165" fontId="14" fillId="3" borderId="38" xfId="0" applyNumberFormat="1" applyFont="1" applyFill="1" applyBorder="1" applyAlignment="1">
      <alignment vertical="center"/>
    </xf>
    <xf numFmtId="0" fontId="20" fillId="3" borderId="39" xfId="0" applyFont="1" applyFill="1" applyBorder="1" applyAlignment="1">
      <alignment horizontal="left" vertical="center" indent="2"/>
    </xf>
    <xf numFmtId="0" fontId="20" fillId="3" borderId="40" xfId="0" applyNumberFormat="1" applyFont="1" applyFill="1" applyBorder="1" applyAlignment="1">
      <alignment vertical="center"/>
    </xf>
    <xf numFmtId="165" fontId="20" fillId="3" borderId="41" xfId="0" applyNumberFormat="1" applyFont="1" applyFill="1" applyBorder="1" applyAlignment="1">
      <alignment vertical="center"/>
    </xf>
    <xf numFmtId="165" fontId="20" fillId="3" borderId="42" xfId="0" applyNumberFormat="1" applyFont="1" applyFill="1" applyBorder="1" applyAlignment="1">
      <alignment vertical="center"/>
    </xf>
    <xf numFmtId="165" fontId="20" fillId="3" borderId="40" xfId="0" applyNumberFormat="1" applyFont="1" applyFill="1" applyBorder="1" applyAlignment="1">
      <alignment vertical="center"/>
    </xf>
    <xf numFmtId="165" fontId="20" fillId="3" borderId="44" xfId="0" applyNumberFormat="1" applyFont="1" applyFill="1" applyBorder="1" applyAlignment="1">
      <alignment vertical="center"/>
    </xf>
    <xf numFmtId="0" fontId="20" fillId="4" borderId="25" xfId="0" applyFont="1" applyFill="1" applyBorder="1" applyAlignment="1">
      <alignment horizontal="left" vertical="center" indent="2"/>
    </xf>
    <xf numFmtId="0" fontId="20" fillId="4" borderId="26" xfId="0" applyNumberFormat="1" applyFont="1" applyFill="1" applyBorder="1" applyAlignment="1">
      <alignment vertical="center"/>
    </xf>
    <xf numFmtId="165" fontId="20" fillId="4" borderId="4" xfId="0" applyNumberFormat="1" applyFont="1" applyFill="1" applyBorder="1" applyAlignment="1">
      <alignment vertical="center"/>
    </xf>
    <xf numFmtId="165" fontId="20" fillId="4" borderId="7" xfId="0" applyNumberFormat="1" applyFont="1" applyFill="1" applyBorder="1" applyAlignment="1">
      <alignment vertical="center"/>
    </xf>
    <xf numFmtId="165" fontId="20" fillId="5" borderId="25" xfId="0" applyNumberFormat="1" applyFont="1" applyFill="1" applyBorder="1" applyAlignment="1">
      <alignment vertical="center"/>
    </xf>
    <xf numFmtId="165" fontId="20" fillId="4" borderId="26" xfId="0" applyNumberFormat="1" applyFont="1" applyFill="1" applyBorder="1" applyAlignment="1">
      <alignment vertical="center"/>
    </xf>
    <xf numFmtId="165" fontId="20" fillId="4" borderId="27" xfId="0" applyNumberFormat="1" applyFont="1" applyFill="1" applyBorder="1" applyAlignment="1">
      <alignment vertical="center"/>
    </xf>
    <xf numFmtId="0" fontId="14" fillId="6" borderId="31" xfId="0" applyFont="1" applyFill="1" applyBorder="1" applyAlignment="1">
      <alignment vertical="center"/>
    </xf>
    <xf numFmtId="0" fontId="15" fillId="6" borderId="32" xfId="0" applyNumberFormat="1" applyFont="1" applyFill="1" applyBorder="1" applyAlignment="1">
      <alignment vertical="center"/>
    </xf>
    <xf numFmtId="165" fontId="15" fillId="6" borderId="33" xfId="0" applyNumberFormat="1" applyFont="1" applyFill="1" applyBorder="1" applyAlignment="1">
      <alignment vertical="center"/>
    </xf>
    <xf numFmtId="165" fontId="15" fillId="6" borderId="34" xfId="0" applyNumberFormat="1" applyFont="1" applyFill="1" applyBorder="1" applyAlignment="1">
      <alignment vertical="center"/>
    </xf>
    <xf numFmtId="165" fontId="15" fillId="5" borderId="35" xfId="0" applyNumberFormat="1" applyFont="1" applyFill="1" applyBorder="1" applyAlignment="1">
      <alignment vertical="center"/>
    </xf>
    <xf numFmtId="165" fontId="15" fillId="6" borderId="32" xfId="0" applyNumberFormat="1" applyFont="1" applyFill="1" applyBorder="1" applyAlignment="1">
      <alignment vertical="center"/>
    </xf>
    <xf numFmtId="165" fontId="15" fillId="6" borderId="36" xfId="0" applyNumberFormat="1" applyFont="1" applyFill="1" applyBorder="1" applyAlignment="1">
      <alignment vertical="center"/>
    </xf>
    <xf numFmtId="0" fontId="14" fillId="6" borderId="37" xfId="0" applyFont="1" applyFill="1" applyBorder="1" applyAlignment="1">
      <alignment horizontal="left" vertical="center" indent="2"/>
    </xf>
    <xf numFmtId="165" fontId="15" fillId="6" borderId="38" xfId="0" applyNumberFormat="1" applyFont="1" applyFill="1" applyBorder="1" applyAlignment="1">
      <alignment vertical="center"/>
    </xf>
    <xf numFmtId="0" fontId="20" fillId="6" borderId="39" xfId="0" applyFont="1" applyFill="1" applyBorder="1" applyAlignment="1">
      <alignment horizontal="left" vertical="center" indent="2"/>
    </xf>
    <xf numFmtId="0" fontId="20" fillId="6" borderId="40" xfId="0" applyNumberFormat="1" applyFont="1" applyFill="1" applyBorder="1" applyAlignment="1">
      <alignment vertical="center"/>
    </xf>
    <xf numFmtId="165" fontId="20" fillId="6" borderId="41" xfId="0" applyNumberFormat="1" applyFont="1" applyFill="1" applyBorder="1" applyAlignment="1">
      <alignment vertical="center"/>
    </xf>
    <xf numFmtId="165" fontId="20" fillId="6" borderId="42" xfId="0" applyNumberFormat="1" applyFont="1" applyFill="1" applyBorder="1" applyAlignment="1">
      <alignment vertical="center"/>
    </xf>
    <xf numFmtId="165" fontId="20" fillId="6" borderId="40" xfId="0" applyNumberFormat="1" applyFont="1" applyFill="1" applyBorder="1" applyAlignment="1">
      <alignment vertical="center"/>
    </xf>
    <xf numFmtId="165" fontId="20" fillId="6" borderId="44" xfId="0" applyNumberFormat="1" applyFont="1" applyFill="1" applyBorder="1" applyAlignment="1">
      <alignment vertical="center"/>
    </xf>
    <xf numFmtId="0" fontId="20" fillId="2" borderId="3" xfId="0" applyNumberFormat="1" applyFont="1" applyFill="1" applyBorder="1" applyAlignment="1">
      <alignment vertical="center"/>
    </xf>
    <xf numFmtId="165" fontId="20" fillId="2" borderId="1" xfId="0" applyNumberFormat="1" applyFont="1" applyFill="1" applyBorder="1" applyAlignment="1">
      <alignment vertical="center"/>
    </xf>
    <xf numFmtId="165" fontId="20" fillId="2" borderId="2" xfId="0" applyNumberFormat="1" applyFont="1" applyFill="1" applyBorder="1" applyAlignment="1">
      <alignment vertical="center"/>
    </xf>
    <xf numFmtId="0" fontId="14" fillId="2" borderId="3" xfId="0" applyNumberFormat="1" applyFont="1" applyFill="1" applyBorder="1" applyAlignment="1">
      <alignment vertical="center"/>
    </xf>
    <xf numFmtId="165" fontId="14" fillId="2" borderId="1" xfId="0" applyNumberFormat="1" applyFont="1" applyFill="1" applyBorder="1" applyAlignment="1">
      <alignment vertical="center"/>
    </xf>
    <xf numFmtId="165" fontId="14" fillId="2" borderId="2" xfId="0" applyNumberFormat="1" applyFont="1" applyFill="1" applyBorder="1" applyAlignment="1">
      <alignment vertical="center"/>
    </xf>
    <xf numFmtId="0" fontId="20" fillId="2" borderId="40" xfId="0" applyNumberFormat="1" applyFont="1" applyFill="1" applyBorder="1" applyAlignment="1">
      <alignment vertical="center"/>
    </xf>
    <xf numFmtId="165" fontId="20" fillId="2" borderId="41" xfId="0" applyNumberFormat="1" applyFont="1" applyFill="1" applyBorder="1" applyAlignment="1">
      <alignment vertical="center"/>
    </xf>
    <xf numFmtId="165" fontId="20" fillId="2" borderId="42" xfId="0" applyNumberFormat="1" applyFont="1" applyFill="1" applyBorder="1" applyAlignment="1">
      <alignment vertical="center"/>
    </xf>
    <xf numFmtId="165" fontId="20" fillId="2" borderId="3" xfId="0" applyNumberFormat="1" applyFont="1" applyFill="1" applyBorder="1" applyAlignment="1">
      <alignment vertical="center"/>
    </xf>
    <xf numFmtId="165" fontId="20" fillId="2" borderId="38" xfId="0" applyNumberFormat="1" applyFont="1" applyFill="1" applyBorder="1" applyAlignment="1">
      <alignment vertical="center"/>
    </xf>
    <xf numFmtId="165" fontId="14" fillId="2" borderId="3" xfId="0" applyNumberFormat="1" applyFont="1" applyFill="1" applyBorder="1" applyAlignment="1">
      <alignment vertical="center"/>
    </xf>
    <xf numFmtId="165" fontId="14" fillId="2" borderId="38" xfId="0" applyNumberFormat="1" applyFont="1" applyFill="1" applyBorder="1" applyAlignment="1">
      <alignment vertical="center"/>
    </xf>
    <xf numFmtId="165" fontId="20" fillId="2" borderId="40" xfId="0" applyNumberFormat="1" applyFont="1" applyFill="1" applyBorder="1" applyAlignment="1">
      <alignment vertical="center"/>
    </xf>
    <xf numFmtId="165" fontId="20" fillId="2" borderId="44" xfId="0" applyNumberFormat="1" applyFont="1" applyFill="1" applyBorder="1" applyAlignment="1">
      <alignment vertical="center"/>
    </xf>
    <xf numFmtId="165" fontId="14" fillId="2" borderId="32" xfId="0" applyNumberFormat="1" applyFont="1" applyFill="1" applyBorder="1" applyAlignment="1">
      <alignment vertical="center"/>
    </xf>
    <xf numFmtId="165" fontId="14" fillId="2" borderId="33" xfId="0" applyNumberFormat="1" applyFont="1" applyFill="1" applyBorder="1" applyAlignment="1">
      <alignment vertical="center"/>
    </xf>
    <xf numFmtId="165" fontId="14" fillId="2" borderId="36" xfId="0" applyNumberFormat="1" applyFont="1" applyFill="1" applyBorder="1" applyAlignment="1">
      <alignment vertical="center"/>
    </xf>
    <xf numFmtId="0" fontId="20" fillId="6" borderId="37" xfId="0" applyFont="1" applyFill="1" applyBorder="1" applyAlignment="1">
      <alignment horizontal="left" vertical="center" wrapText="1" indent="2"/>
    </xf>
    <xf numFmtId="0" fontId="20" fillId="6" borderId="29" xfId="0" applyNumberFormat="1" applyFont="1" applyFill="1" applyBorder="1" applyAlignment="1">
      <alignment vertical="center"/>
    </xf>
    <xf numFmtId="165" fontId="20" fillId="6" borderId="1" xfId="0" applyNumberFormat="1" applyFont="1" applyFill="1" applyBorder="1" applyAlignment="1">
      <alignment vertical="center"/>
    </xf>
    <xf numFmtId="165" fontId="20" fillId="6" borderId="2" xfId="0" applyNumberFormat="1" applyFont="1" applyFill="1" applyBorder="1" applyAlignment="1">
      <alignment vertical="center"/>
    </xf>
    <xf numFmtId="165" fontId="20" fillId="6" borderId="3" xfId="0" applyNumberFormat="1" applyFont="1" applyFill="1" applyBorder="1" applyAlignment="1">
      <alignment vertical="center"/>
    </xf>
    <xf numFmtId="165" fontId="20" fillId="6" borderId="38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8" fillId="4" borderId="28" xfId="0" applyFont="1" applyFill="1" applyBorder="1" applyAlignment="1">
      <alignment vertical="center"/>
    </xf>
    <xf numFmtId="0" fontId="28" fillId="4" borderId="29" xfId="0" applyNumberFormat="1" applyFont="1" applyFill="1" applyBorder="1" applyAlignment="1">
      <alignment vertical="center"/>
    </xf>
    <xf numFmtId="165" fontId="28" fillId="4" borderId="5" xfId="0" applyNumberFormat="1" applyFont="1" applyFill="1" applyBorder="1" applyAlignment="1">
      <alignment vertical="center"/>
    </xf>
    <xf numFmtId="165" fontId="28" fillId="4" borderId="8" xfId="0" applyNumberFormat="1" applyFont="1" applyFill="1" applyBorder="1" applyAlignment="1">
      <alignment vertical="center"/>
    </xf>
    <xf numFmtId="165" fontId="28" fillId="5" borderId="28" xfId="0" applyNumberFormat="1" applyFont="1" applyFill="1" applyBorder="1" applyAlignment="1">
      <alignment vertical="center"/>
    </xf>
    <xf numFmtId="165" fontId="28" fillId="4" borderId="29" xfId="0" applyNumberFormat="1" applyFont="1" applyFill="1" applyBorder="1" applyAlignment="1">
      <alignment vertical="center"/>
    </xf>
    <xf numFmtId="165" fontId="28" fillId="4" borderId="30" xfId="0" applyNumberFormat="1" applyFont="1" applyFill="1" applyBorder="1" applyAlignment="1">
      <alignment vertical="center"/>
    </xf>
    <xf numFmtId="4" fontId="11" fillId="0" borderId="0" xfId="0" applyNumberFormat="1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29" fillId="0" borderId="0" xfId="0" applyFont="1" applyFill="1" applyAlignment="1">
      <alignment horizontal="center" vertical="center"/>
    </xf>
    <xf numFmtId="9" fontId="29" fillId="0" borderId="0" xfId="2" applyFont="1" applyFill="1" applyAlignment="1">
      <alignment horizontal="center" vertical="center"/>
    </xf>
    <xf numFmtId="4" fontId="29" fillId="0" borderId="0" xfId="0" applyNumberFormat="1" applyFont="1" applyFill="1" applyAlignment="1">
      <alignment horizontal="center" vertical="center"/>
    </xf>
    <xf numFmtId="0" fontId="29" fillId="0" borderId="0" xfId="0" applyFont="1" applyFill="1"/>
    <xf numFmtId="0" fontId="0" fillId="0" borderId="0" xfId="0" applyFont="1" applyFill="1" applyAlignment="1">
      <alignment horizontal="center" vertical="center"/>
    </xf>
    <xf numFmtId="9" fontId="6" fillId="0" borderId="0" xfId="2" applyFont="1" applyFill="1" applyAlignment="1">
      <alignment horizontal="center" vertical="center"/>
    </xf>
    <xf numFmtId="4" fontId="0" fillId="0" borderId="0" xfId="0" applyNumberFormat="1" applyFont="1" applyFill="1" applyAlignment="1">
      <alignment horizontal="center" vertical="center"/>
    </xf>
    <xf numFmtId="0" fontId="0" fillId="0" borderId="0" xfId="0" applyFont="1" applyFill="1"/>
    <xf numFmtId="9" fontId="0" fillId="0" borderId="0" xfId="2" applyFont="1" applyFill="1" applyAlignment="1">
      <alignment horizontal="center" vertical="center"/>
    </xf>
    <xf numFmtId="4" fontId="0" fillId="0" borderId="0" xfId="0" applyNumberFormat="1" applyFill="1" applyAlignment="1">
      <alignment horizontal="center" vertical="center"/>
    </xf>
    <xf numFmtId="0" fontId="5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 vertical="center"/>
    </xf>
    <xf numFmtId="0" fontId="17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3" fillId="2" borderId="0" xfId="0" applyFont="1" applyFill="1" applyBorder="1" applyAlignment="1">
      <alignment vertical="center" wrapText="1"/>
    </xf>
    <xf numFmtId="0" fontId="16" fillId="2" borderId="0" xfId="1" applyFont="1" applyFill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0" xfId="0" applyFill="1" applyBorder="1"/>
    <xf numFmtId="0" fontId="18" fillId="2" borderId="0" xfId="0" applyFont="1" applyFill="1"/>
    <xf numFmtId="0" fontId="0" fillId="2" borderId="0" xfId="0" applyFill="1" applyAlignment="1">
      <alignment wrapText="1" shrinkToFit="1"/>
    </xf>
    <xf numFmtId="0" fontId="12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165" fontId="11" fillId="0" borderId="0" xfId="0" applyNumberFormat="1" applyFont="1" applyBorder="1" applyAlignment="1">
      <alignment horizontal="center" vertical="center"/>
    </xf>
    <xf numFmtId="0" fontId="33" fillId="7" borderId="0" xfId="0" applyFont="1" applyFill="1" applyAlignment="1">
      <alignment vertical="center"/>
    </xf>
    <xf numFmtId="0" fontId="29" fillId="7" borderId="0" xfId="0" applyFont="1" applyFill="1"/>
    <xf numFmtId="0" fontId="0" fillId="7" borderId="0" xfId="0" applyFill="1"/>
    <xf numFmtId="4" fontId="31" fillId="0" borderId="7" xfId="0" applyNumberFormat="1" applyFont="1" applyFill="1" applyBorder="1" applyAlignment="1">
      <alignment vertical="center"/>
    </xf>
    <xf numFmtId="0" fontId="0" fillId="7" borderId="0" xfId="0" applyFont="1" applyFill="1"/>
    <xf numFmtId="0" fontId="31" fillId="0" borderId="1" xfId="0" applyFont="1" applyFill="1" applyBorder="1" applyAlignment="1">
      <alignment vertical="center" wrapText="1"/>
    </xf>
    <xf numFmtId="4" fontId="31" fillId="0" borderId="1" xfId="0" applyNumberFormat="1" applyFont="1" applyFill="1" applyBorder="1" applyAlignment="1">
      <alignment vertical="center" wrapText="1"/>
    </xf>
    <xf numFmtId="49" fontId="31" fillId="0" borderId="2" xfId="0" applyNumberFormat="1" applyFont="1" applyFill="1" applyBorder="1" applyAlignment="1">
      <alignment horizontal="center" vertical="center" wrapText="1"/>
    </xf>
    <xf numFmtId="4" fontId="31" fillId="0" borderId="2" xfId="0" applyNumberFormat="1" applyFont="1" applyFill="1" applyBorder="1" applyAlignment="1">
      <alignment vertical="center"/>
    </xf>
    <xf numFmtId="9" fontId="31" fillId="0" borderId="1" xfId="0" applyNumberFormat="1" applyFont="1" applyFill="1" applyBorder="1" applyAlignment="1">
      <alignment vertical="center"/>
    </xf>
    <xf numFmtId="0" fontId="31" fillId="0" borderId="1" xfId="0" applyFont="1" applyFill="1" applyBorder="1" applyAlignment="1">
      <alignment vertical="center"/>
    </xf>
    <xf numFmtId="0" fontId="31" fillId="0" borderId="2" xfId="0" applyFont="1" applyFill="1" applyBorder="1" applyAlignment="1">
      <alignment vertical="center" wrapText="1"/>
    </xf>
    <xf numFmtId="49" fontId="31" fillId="0" borderId="1" xfId="0" applyNumberFormat="1" applyFont="1" applyFill="1" applyBorder="1" applyAlignment="1">
      <alignment vertical="center" wrapText="1"/>
    </xf>
    <xf numFmtId="166" fontId="31" fillId="0" borderId="1" xfId="0" applyNumberFormat="1" applyFont="1" applyFill="1" applyBorder="1" applyAlignment="1">
      <alignment vertical="center"/>
    </xf>
    <xf numFmtId="164" fontId="31" fillId="0" borderId="1" xfId="0" applyNumberFormat="1" applyFont="1" applyFill="1" applyBorder="1" applyAlignment="1">
      <alignment vertical="center" wrapText="1"/>
    </xf>
    <xf numFmtId="4" fontId="31" fillId="0" borderId="1" xfId="0" applyNumberFormat="1" applyFont="1" applyFill="1" applyBorder="1" applyAlignment="1">
      <alignment vertical="center"/>
    </xf>
    <xf numFmtId="4" fontId="32" fillId="0" borderId="2" xfId="0" applyNumberFormat="1" applyFont="1" applyFill="1" applyBorder="1" applyAlignment="1">
      <alignment vertical="center"/>
    </xf>
    <xf numFmtId="0" fontId="31" fillId="0" borderId="2" xfId="0" applyFont="1" applyFill="1" applyBorder="1" applyAlignment="1">
      <alignment horizontal="center" vertical="center" wrapText="1"/>
    </xf>
    <xf numFmtId="49" fontId="31" fillId="0" borderId="4" xfId="0" applyNumberFormat="1" applyFont="1" applyFill="1" applyBorder="1" applyAlignment="1">
      <alignment vertical="center" wrapText="1"/>
    </xf>
    <xf numFmtId="49" fontId="31" fillId="0" borderId="4" xfId="0" applyNumberFormat="1" applyFont="1" applyFill="1" applyBorder="1" applyAlignment="1">
      <alignment horizontal="center" vertical="center" wrapText="1"/>
    </xf>
    <xf numFmtId="0" fontId="31" fillId="0" borderId="4" xfId="0" applyFont="1" applyFill="1" applyBorder="1" applyAlignment="1">
      <alignment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/>
    </xf>
    <xf numFmtId="0" fontId="31" fillId="0" borderId="2" xfId="22" applyFont="1" applyFill="1" applyBorder="1" applyAlignment="1">
      <alignment horizontal="left" wrapText="1"/>
    </xf>
    <xf numFmtId="49" fontId="22" fillId="0" borderId="2" xfId="0" applyNumberFormat="1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vertical="center" wrapText="1"/>
    </xf>
    <xf numFmtId="0" fontId="30" fillId="0" borderId="1" xfId="0" applyFont="1" applyFill="1" applyBorder="1" applyAlignment="1">
      <alignment horizontal="center" vertical="center" wrapText="1"/>
    </xf>
    <xf numFmtId="4" fontId="22" fillId="0" borderId="7" xfId="0" applyNumberFormat="1" applyFont="1" applyFill="1" applyBorder="1" applyAlignment="1">
      <alignment vertical="center"/>
    </xf>
    <xf numFmtId="4" fontId="22" fillId="0" borderId="2" xfId="0" applyNumberFormat="1" applyFont="1" applyFill="1" applyBorder="1" applyAlignment="1">
      <alignment vertical="center"/>
    </xf>
    <xf numFmtId="4" fontId="22" fillId="0" borderId="1" xfId="0" applyNumberFormat="1" applyFont="1" applyFill="1" applyBorder="1" applyAlignment="1">
      <alignment vertical="center" wrapText="1"/>
    </xf>
    <xf numFmtId="49" fontId="31" fillId="0" borderId="1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0" fontId="22" fillId="0" borderId="1" xfId="3" applyFont="1" applyFill="1" applyBorder="1" applyAlignment="1">
      <alignment vertical="center" wrapText="1"/>
    </xf>
    <xf numFmtId="166" fontId="26" fillId="0" borderId="1" xfId="0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9" fontId="26" fillId="0" borderId="1" xfId="0" applyNumberFormat="1" applyFont="1" applyFill="1" applyBorder="1" applyAlignment="1">
      <alignment horizontal="center" vertical="center"/>
    </xf>
    <xf numFmtId="4" fontId="24" fillId="0" borderId="1" xfId="0" applyNumberFormat="1" applyFont="1" applyFill="1" applyBorder="1" applyAlignment="1">
      <alignment horizontal="right" vertical="center"/>
    </xf>
    <xf numFmtId="166" fontId="27" fillId="0" borderId="1" xfId="0" applyNumberFormat="1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9" fontId="27" fillId="0" borderId="1" xfId="0" applyNumberFormat="1" applyFont="1" applyFill="1" applyBorder="1" applyAlignment="1">
      <alignment horizontal="center" vertical="center"/>
    </xf>
    <xf numFmtId="4" fontId="27" fillId="0" borderId="1" xfId="0" applyNumberFormat="1" applyFont="1" applyFill="1" applyBorder="1" applyAlignment="1">
      <alignment horizontal="right" vertical="center"/>
    </xf>
    <xf numFmtId="4" fontId="22" fillId="0" borderId="1" xfId="0" applyNumberFormat="1" applyFont="1" applyFill="1" applyBorder="1" applyAlignment="1">
      <alignment vertical="center"/>
    </xf>
    <xf numFmtId="0" fontId="29" fillId="0" borderId="1" xfId="0" applyFont="1" applyFill="1" applyBorder="1" applyAlignment="1">
      <alignment wrapText="1"/>
    </xf>
    <xf numFmtId="0" fontId="31" fillId="0" borderId="1" xfId="0" applyFont="1" applyFill="1" applyBorder="1" applyAlignment="1">
      <alignment horizontal="left" vertical="center"/>
    </xf>
    <xf numFmtId="0" fontId="33" fillId="0" borderId="0" xfId="0" applyFont="1" applyFill="1" applyAlignment="1">
      <alignment horizontal="center" vertical="center"/>
    </xf>
    <xf numFmtId="9" fontId="33" fillId="0" borderId="0" xfId="2" applyFont="1" applyFill="1" applyAlignment="1">
      <alignment horizontal="center" vertical="center"/>
    </xf>
    <xf numFmtId="4" fontId="33" fillId="0" borderId="0" xfId="0" applyNumberFormat="1" applyFont="1" applyFill="1" applyAlignment="1">
      <alignment horizontal="center" vertical="center"/>
    </xf>
    <xf numFmtId="0" fontId="31" fillId="7" borderId="0" xfId="0" applyFont="1" applyFill="1" applyAlignment="1">
      <alignment horizontal="left" vertical="center"/>
    </xf>
    <xf numFmtId="0" fontId="31" fillId="0" borderId="1" xfId="0" applyFont="1" applyFill="1" applyBorder="1" applyAlignment="1">
      <alignment horizontal="left" vertical="center" wrapText="1"/>
    </xf>
    <xf numFmtId="49" fontId="31" fillId="0" borderId="1" xfId="0" applyNumberFormat="1" applyFont="1" applyFill="1" applyBorder="1" applyAlignment="1">
      <alignment horizontal="left" vertical="center"/>
    </xf>
    <xf numFmtId="166" fontId="31" fillId="0" borderId="1" xfId="0" applyNumberFormat="1" applyFont="1" applyFill="1" applyBorder="1" applyAlignment="1">
      <alignment horizontal="right" vertical="center"/>
    </xf>
    <xf numFmtId="164" fontId="31" fillId="0" borderId="1" xfId="0" applyNumberFormat="1" applyFont="1" applyFill="1" applyBorder="1" applyAlignment="1">
      <alignment horizontal="center" vertical="center" wrapText="1"/>
    </xf>
    <xf numFmtId="43" fontId="31" fillId="0" borderId="1" xfId="15" applyFont="1" applyFill="1" applyBorder="1" applyAlignment="1">
      <alignment horizontal="right" vertical="center"/>
    </xf>
    <xf numFmtId="4" fontId="31" fillId="0" borderId="2" xfId="0" applyNumberFormat="1" applyFont="1" applyFill="1" applyBorder="1" applyAlignment="1">
      <alignment horizontal="right" vertical="center"/>
    </xf>
    <xf numFmtId="4" fontId="31" fillId="0" borderId="1" xfId="0" applyNumberFormat="1" applyFont="1" applyFill="1" applyBorder="1" applyAlignment="1">
      <alignment horizontal="right" vertical="center" wrapText="1"/>
    </xf>
    <xf numFmtId="9" fontId="31" fillId="0" borderId="1" xfId="0" applyNumberFormat="1" applyFont="1" applyFill="1" applyBorder="1" applyAlignment="1">
      <alignment horizontal="right" vertical="center"/>
    </xf>
    <xf numFmtId="0" fontId="33" fillId="7" borderId="0" xfId="0" applyFont="1" applyFill="1"/>
    <xf numFmtId="0" fontId="11" fillId="0" borderId="0" xfId="0" applyFont="1" applyFill="1" applyBorder="1" applyAlignment="1">
      <alignment horizontal="center" vertical="center"/>
    </xf>
    <xf numFmtId="165" fontId="11" fillId="0" borderId="0" xfId="0" applyNumberFormat="1" applyFont="1" applyFill="1" applyBorder="1" applyAlignment="1">
      <alignment horizontal="center" vertical="center"/>
    </xf>
    <xf numFmtId="4" fontId="11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4" fontId="38" fillId="0" borderId="1" xfId="0" applyNumberFormat="1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left"/>
    </xf>
    <xf numFmtId="166" fontId="31" fillId="0" borderId="1" xfId="0" applyNumberFormat="1" applyFont="1" applyFill="1" applyBorder="1" applyAlignment="1">
      <alignment horizontal="left" vertical="center"/>
    </xf>
    <xf numFmtId="164" fontId="31" fillId="0" borderId="1" xfId="0" applyNumberFormat="1" applyFont="1" applyFill="1" applyBorder="1" applyAlignment="1">
      <alignment horizontal="left" vertical="center" wrapText="1"/>
    </xf>
    <xf numFmtId="43" fontId="32" fillId="0" borderId="1" xfId="25" applyFont="1" applyFill="1" applyBorder="1" applyAlignment="1">
      <alignment horizontal="center" vertical="center"/>
    </xf>
    <xf numFmtId="4" fontId="32" fillId="0" borderId="2" xfId="0" applyNumberFormat="1" applyFont="1" applyFill="1" applyBorder="1" applyAlignment="1">
      <alignment horizontal="center" vertical="center"/>
    </xf>
    <xf numFmtId="4" fontId="32" fillId="0" borderId="1" xfId="0" applyNumberFormat="1" applyFont="1" applyFill="1" applyBorder="1" applyAlignment="1">
      <alignment horizontal="center" vertical="center" wrapText="1"/>
    </xf>
    <xf numFmtId="9" fontId="31" fillId="0" borderId="1" xfId="0" applyNumberFormat="1" applyFont="1" applyFill="1" applyBorder="1" applyAlignment="1">
      <alignment horizontal="center" vertical="center"/>
    </xf>
    <xf numFmtId="4" fontId="31" fillId="0" borderId="2" xfId="0" applyNumberFormat="1" applyFont="1" applyFill="1" applyBorder="1" applyAlignment="1">
      <alignment horizontal="center" vertical="center"/>
    </xf>
    <xf numFmtId="4" fontId="31" fillId="0" borderId="1" xfId="0" applyNumberFormat="1" applyFont="1" applyFill="1" applyBorder="1" applyAlignment="1">
      <alignment horizontal="center" vertical="center"/>
    </xf>
    <xf numFmtId="4" fontId="32" fillId="0" borderId="1" xfId="0" applyNumberFormat="1" applyFont="1" applyFill="1" applyBorder="1" applyAlignment="1">
      <alignment horizontal="left" vertical="center"/>
    </xf>
    <xf numFmtId="9" fontId="31" fillId="0" borderId="1" xfId="2" applyFont="1" applyFill="1" applyBorder="1" applyAlignment="1">
      <alignment horizontal="left" vertical="center"/>
    </xf>
    <xf numFmtId="4" fontId="31" fillId="8" borderId="1" xfId="0" applyNumberFormat="1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164" fontId="30" fillId="0" borderId="1" xfId="0" applyNumberFormat="1" applyFont="1" applyFill="1" applyBorder="1" applyAlignment="1">
      <alignment vertical="center" wrapText="1"/>
    </xf>
    <xf numFmtId="4" fontId="3" fillId="2" borderId="6" xfId="0" applyNumberFormat="1" applyFont="1" applyFill="1" applyBorder="1" applyAlignment="1">
      <alignment vertical="center" wrapText="1"/>
    </xf>
    <xf numFmtId="4" fontId="0" fillId="2" borderId="0" xfId="0" applyNumberFormat="1" applyFill="1"/>
    <xf numFmtId="4" fontId="31" fillId="8" borderId="1" xfId="0" applyNumberFormat="1" applyFont="1" applyFill="1" applyBorder="1" applyAlignment="1">
      <alignment vertical="center"/>
    </xf>
    <xf numFmtId="4" fontId="12" fillId="0" borderId="0" xfId="0" applyNumberFormat="1" applyFont="1" applyFill="1" applyBorder="1" applyAlignment="1">
      <alignment vertical="center"/>
    </xf>
    <xf numFmtId="0" fontId="37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165" fontId="37" fillId="0" borderId="0" xfId="0" applyNumberFormat="1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14" fillId="0" borderId="25" xfId="0" applyFont="1" applyFill="1" applyBorder="1" applyAlignment="1">
      <alignment horizontal="center" vertical="center"/>
    </xf>
    <xf numFmtId="0" fontId="14" fillId="0" borderId="21" xfId="0" applyFont="1" applyFill="1" applyBorder="1" applyAlignment="1">
      <alignment horizontal="center" vertical="center" wrapText="1"/>
    </xf>
    <xf numFmtId="0" fontId="14" fillId="0" borderId="26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5" borderId="20" xfId="0" applyFont="1" applyFill="1" applyBorder="1" applyAlignment="1">
      <alignment horizontal="center" vertical="center" wrapText="1"/>
    </xf>
    <xf numFmtId="0" fontId="14" fillId="5" borderId="2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 shrinkToFit="1"/>
    </xf>
    <xf numFmtId="0" fontId="27" fillId="0" borderId="9" xfId="0" applyFont="1" applyFill="1" applyBorder="1" applyAlignment="1">
      <alignment horizontal="center" vertical="center" wrapText="1" shrinkToFit="1"/>
    </xf>
    <xf numFmtId="0" fontId="27" fillId="0" borderId="3" xfId="0" applyFont="1" applyFill="1" applyBorder="1" applyAlignment="1">
      <alignment horizontal="center" vertical="center" wrapText="1" shrinkToFit="1"/>
    </xf>
    <xf numFmtId="0" fontId="24" fillId="0" borderId="2" xfId="0" applyFont="1" applyFill="1" applyBorder="1" applyAlignment="1">
      <alignment horizontal="center" vertical="center" wrapText="1" shrinkToFit="1"/>
    </xf>
    <xf numFmtId="0" fontId="24" fillId="0" borderId="9" xfId="0" applyFont="1" applyFill="1" applyBorder="1" applyAlignment="1">
      <alignment horizontal="center" vertical="center" wrapText="1" shrinkToFit="1"/>
    </xf>
    <xf numFmtId="0" fontId="24" fillId="0" borderId="3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4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46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7" fillId="0" borderId="9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5" fillId="0" borderId="9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</cellXfs>
  <cellStyles count="26">
    <cellStyle name="Dziesiętny" xfId="25" builtinId="3"/>
    <cellStyle name="Dziesiętny 2" xfId="4" xr:uid="{00000000-0005-0000-0000-000001000000}"/>
    <cellStyle name="Dziesiętny 2 2" xfId="8" xr:uid="{00000000-0005-0000-0000-000002000000}"/>
    <cellStyle name="Dziesiętny 2 2 2" xfId="17" xr:uid="{00000000-0005-0000-0000-000003000000}"/>
    <cellStyle name="Dziesiętny 2 3" xfId="9" xr:uid="{00000000-0005-0000-0000-000004000000}"/>
    <cellStyle name="Dziesiętny 2 3 2" xfId="18" xr:uid="{00000000-0005-0000-0000-000005000000}"/>
    <cellStyle name="Dziesiętny 2 4" xfId="7" xr:uid="{00000000-0005-0000-0000-000006000000}"/>
    <cellStyle name="Dziesiętny 2 5" xfId="16" xr:uid="{00000000-0005-0000-0000-000007000000}"/>
    <cellStyle name="Dziesiętny 3" xfId="10" xr:uid="{00000000-0005-0000-0000-000008000000}"/>
    <cellStyle name="Dziesiętny 3 2" xfId="19" xr:uid="{00000000-0005-0000-0000-000009000000}"/>
    <cellStyle name="Dziesiętny 4" xfId="11" xr:uid="{00000000-0005-0000-0000-00000A000000}"/>
    <cellStyle name="Dziesiętny 4 2" xfId="20" xr:uid="{00000000-0005-0000-0000-00000B000000}"/>
    <cellStyle name="Dziesiętny 5" xfId="6" xr:uid="{00000000-0005-0000-0000-00000C000000}"/>
    <cellStyle name="Dziesiętny 6" xfId="15" xr:uid="{00000000-0005-0000-0000-00000D000000}"/>
    <cellStyle name="Normalny" xfId="0" builtinId="0"/>
    <cellStyle name="Normalny 2" xfId="3" xr:uid="{00000000-0005-0000-0000-00000F000000}"/>
    <cellStyle name="Normalny 2 2" xfId="5" xr:uid="{00000000-0005-0000-0000-000010000000}"/>
    <cellStyle name="Normalny 3" xfId="1" xr:uid="{00000000-0005-0000-0000-000011000000}"/>
    <cellStyle name="Normalny 4" xfId="12" xr:uid="{00000000-0005-0000-0000-000012000000}"/>
    <cellStyle name="Normalny 5" xfId="13" xr:uid="{00000000-0005-0000-0000-000013000000}"/>
    <cellStyle name="Normalny 5 2" xfId="24" xr:uid="{00000000-0005-0000-0000-000014000000}"/>
    <cellStyle name="Normalny 6" xfId="14" xr:uid="{00000000-0005-0000-0000-000015000000}"/>
    <cellStyle name="Normalny 7" xfId="22" xr:uid="{00000000-0005-0000-0000-000016000000}"/>
    <cellStyle name="Normalny 8" xfId="21" xr:uid="{00000000-0005-0000-0000-000017000000}"/>
    <cellStyle name="Procentowy 2" xfId="2" xr:uid="{00000000-0005-0000-0000-000018000000}"/>
    <cellStyle name="Procentowy 3" xfId="23" xr:uid="{00000000-0005-0000-0000-000019000000}"/>
  </cellStyles>
  <dxfs count="6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8">
    <pageSetUpPr fitToPage="1"/>
  </sheetPr>
  <dimension ref="A1:Z49"/>
  <sheetViews>
    <sheetView tabSelected="1" zoomScaleNormal="100" zoomScaleSheetLayoutView="100" workbookViewId="0">
      <selection activeCell="E6" sqref="E6"/>
    </sheetView>
  </sheetViews>
  <sheetFormatPr defaultColWidth="9.28515625" defaultRowHeight="15"/>
  <cols>
    <col min="1" max="1" width="35.28515625" style="12" customWidth="1"/>
    <col min="2" max="2" width="10.7109375" style="12" customWidth="1"/>
    <col min="3" max="3" width="18.28515625" style="12" customWidth="1"/>
    <col min="4" max="4" width="22" style="12" customWidth="1"/>
    <col min="5" max="5" width="20.7109375" style="12" customWidth="1"/>
    <col min="6" max="10" width="15.7109375" style="12" customWidth="1"/>
    <col min="11" max="11" width="18" style="12" customWidth="1"/>
    <col min="12" max="12" width="21.5703125" style="12" customWidth="1"/>
    <col min="13" max="13" width="19.42578125" style="12" customWidth="1"/>
    <col min="14" max="14" width="17.7109375" style="12" customWidth="1"/>
    <col min="15" max="15" width="18.28515625" style="12" customWidth="1"/>
    <col min="16" max="17" width="15.7109375" style="12" customWidth="1"/>
    <col min="18" max="18" width="9.28515625" style="12"/>
    <col min="19" max="19" width="11.7109375" style="12" bestFit="1" customWidth="1"/>
    <col min="20" max="16384" width="9.28515625" style="3"/>
  </cols>
  <sheetData>
    <row r="1" spans="1:26" s="8" customFormat="1" ht="30" customHeight="1" thickBot="1">
      <c r="A1" s="5" t="s">
        <v>654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7"/>
      <c r="U1" s="7"/>
      <c r="V1" s="7"/>
      <c r="W1" s="7"/>
      <c r="X1" s="7"/>
      <c r="Y1" s="7"/>
      <c r="Z1" s="7"/>
    </row>
    <row r="2" spans="1:26">
      <c r="A2" s="9"/>
      <c r="B2" s="9"/>
      <c r="C2" s="9"/>
      <c r="D2" s="9"/>
      <c r="E2" s="9"/>
      <c r="F2" s="308" t="s">
        <v>662</v>
      </c>
      <c r="G2" s="309"/>
      <c r="H2" s="309"/>
      <c r="I2" s="309"/>
      <c r="J2" s="309"/>
      <c r="K2" s="309"/>
      <c r="L2" s="309"/>
      <c r="M2" s="309"/>
      <c r="N2" s="310"/>
      <c r="O2" s="9"/>
      <c r="P2" s="9"/>
      <c r="Q2" s="9"/>
      <c r="R2" s="9"/>
      <c r="S2" s="9"/>
      <c r="T2" s="10"/>
      <c r="U2" s="10"/>
      <c r="V2" s="10"/>
      <c r="W2" s="10"/>
      <c r="X2" s="10"/>
      <c r="Y2" s="10"/>
      <c r="Z2" s="10"/>
    </row>
    <row r="3" spans="1:26">
      <c r="A3" s="11"/>
      <c r="B3" s="9"/>
      <c r="C3" s="9"/>
      <c r="D3" s="327"/>
      <c r="E3" s="328"/>
      <c r="F3" s="311"/>
      <c r="G3" s="312"/>
      <c r="H3" s="312"/>
      <c r="I3" s="312"/>
      <c r="J3" s="312"/>
      <c r="K3" s="312"/>
      <c r="L3" s="312"/>
      <c r="M3" s="312"/>
      <c r="N3" s="313"/>
      <c r="Z3" s="10"/>
    </row>
    <row r="4" spans="1:26">
      <c r="A4" s="13" t="s">
        <v>45</v>
      </c>
      <c r="B4" s="14"/>
      <c r="C4" s="14"/>
      <c r="D4" s="14"/>
      <c r="E4" s="14"/>
      <c r="F4" s="311"/>
      <c r="G4" s="312"/>
      <c r="H4" s="312"/>
      <c r="I4" s="312"/>
      <c r="J4" s="312"/>
      <c r="K4" s="312"/>
      <c r="L4" s="312"/>
      <c r="M4" s="312"/>
      <c r="N4" s="313"/>
      <c r="Z4" s="15"/>
    </row>
    <row r="5" spans="1:26">
      <c r="A5" s="14"/>
      <c r="B5" s="14"/>
      <c r="C5" s="14"/>
      <c r="D5" s="219"/>
      <c r="E5" s="37"/>
      <c r="F5" s="311"/>
      <c r="G5" s="312"/>
      <c r="H5" s="312"/>
      <c r="I5" s="312"/>
      <c r="J5" s="312"/>
      <c r="K5" s="312"/>
      <c r="L5" s="312"/>
      <c r="M5" s="312"/>
      <c r="N5" s="313"/>
      <c r="Z5" s="10"/>
    </row>
    <row r="6" spans="1:26">
      <c r="A6" s="13" t="s">
        <v>46</v>
      </c>
      <c r="B6" s="14"/>
      <c r="C6" s="14"/>
      <c r="D6" s="219"/>
      <c r="E6" s="37"/>
      <c r="F6" s="311"/>
      <c r="G6" s="312"/>
      <c r="H6" s="312"/>
      <c r="I6" s="312"/>
      <c r="J6" s="312"/>
      <c r="K6" s="312"/>
      <c r="L6" s="312"/>
      <c r="M6" s="312"/>
      <c r="N6" s="313"/>
      <c r="Z6" s="15"/>
    </row>
    <row r="7" spans="1:26" ht="15.75" thickBot="1">
      <c r="A7" s="14"/>
      <c r="B7" s="14"/>
      <c r="C7" s="14"/>
      <c r="D7" s="14"/>
      <c r="E7" s="37"/>
      <c r="F7" s="314"/>
      <c r="G7" s="315"/>
      <c r="H7" s="315"/>
      <c r="I7" s="315"/>
      <c r="J7" s="315"/>
      <c r="K7" s="315"/>
      <c r="L7" s="315"/>
      <c r="M7" s="315"/>
      <c r="N7" s="316"/>
      <c r="Z7" s="10"/>
    </row>
    <row r="8" spans="1:26">
      <c r="A8" s="14"/>
      <c r="B8" s="14"/>
      <c r="C8" s="14"/>
      <c r="D8" s="14"/>
      <c r="E8" s="37"/>
      <c r="F8" s="16"/>
      <c r="G8" s="16"/>
      <c r="H8" s="16"/>
      <c r="I8" s="16"/>
      <c r="J8" s="16"/>
      <c r="K8" s="16"/>
      <c r="L8" s="16"/>
      <c r="M8" s="16"/>
      <c r="N8" s="16"/>
      <c r="Z8" s="10"/>
    </row>
    <row r="9" spans="1:26">
      <c r="A9" s="14"/>
      <c r="B9" s="14"/>
      <c r="C9" s="14"/>
      <c r="D9" s="14"/>
      <c r="E9" s="37"/>
      <c r="F9" s="281"/>
      <c r="G9" s="281"/>
      <c r="H9" s="282"/>
      <c r="I9" s="281"/>
      <c r="J9" s="281"/>
      <c r="K9" s="281"/>
      <c r="L9" s="281"/>
      <c r="M9" s="281"/>
      <c r="N9" s="281"/>
      <c r="O9" s="34"/>
      <c r="P9" s="34"/>
      <c r="Z9" s="10"/>
    </row>
    <row r="10" spans="1:26">
      <c r="A10" s="14"/>
      <c r="B10" s="14"/>
      <c r="C10" s="14"/>
      <c r="D10" s="220"/>
      <c r="E10" s="37"/>
      <c r="F10" s="281"/>
      <c r="G10" s="281"/>
      <c r="H10" s="281"/>
      <c r="I10" s="281"/>
      <c r="J10" s="304"/>
      <c r="K10" s="305"/>
      <c r="L10" s="305"/>
      <c r="M10" s="304"/>
      <c r="N10" s="304"/>
      <c r="O10" s="306"/>
      <c r="P10" s="34"/>
      <c r="Z10" s="10"/>
    </row>
    <row r="11" spans="1:26">
      <c r="A11" s="14"/>
      <c r="B11" s="14"/>
      <c r="C11" s="14"/>
      <c r="D11" s="14"/>
      <c r="E11" s="37"/>
      <c r="F11" s="281"/>
      <c r="G11" s="281"/>
      <c r="H11" s="281"/>
      <c r="I11" s="281"/>
      <c r="J11" s="304"/>
      <c r="K11" s="307"/>
      <c r="L11" s="307"/>
      <c r="M11" s="307"/>
      <c r="N11" s="307"/>
      <c r="O11" s="307"/>
      <c r="P11" s="282"/>
      <c r="Q11" s="221"/>
      <c r="Z11" s="10"/>
    </row>
    <row r="12" spans="1:26" ht="15" customHeight="1">
      <c r="A12" s="14"/>
      <c r="B12" s="14"/>
      <c r="C12" s="14"/>
      <c r="D12" s="219"/>
      <c r="E12" s="303"/>
      <c r="F12" s="281"/>
      <c r="G12" s="220"/>
      <c r="H12" s="220"/>
      <c r="I12" s="220"/>
      <c r="J12" s="304"/>
      <c r="K12" s="307"/>
      <c r="L12" s="304"/>
      <c r="M12" s="304"/>
      <c r="N12" s="304"/>
      <c r="O12" s="306"/>
      <c r="P12" s="34"/>
      <c r="Z12" s="10"/>
    </row>
    <row r="13" spans="1:26" ht="26.25" customHeight="1">
      <c r="A13" s="14"/>
      <c r="B13" s="14"/>
      <c r="C13" s="14"/>
      <c r="D13" s="14"/>
      <c r="E13" s="37"/>
      <c r="F13" s="281"/>
      <c r="G13" s="220"/>
      <c r="H13" s="220"/>
      <c r="I13" s="220"/>
      <c r="J13" s="281"/>
      <c r="K13" s="283"/>
      <c r="L13" s="283"/>
      <c r="M13" s="283"/>
      <c r="N13" s="281"/>
      <c r="O13" s="34"/>
      <c r="P13" s="34"/>
      <c r="Z13" s="10"/>
    </row>
    <row r="14" spans="1:26" ht="20.100000000000001" customHeight="1" thickBot="1">
      <c r="A14" s="13" t="s">
        <v>0</v>
      </c>
      <c r="B14" s="14"/>
      <c r="C14" s="14"/>
      <c r="D14" s="14"/>
      <c r="E14" s="14"/>
      <c r="F14" s="16"/>
      <c r="G14" s="16"/>
      <c r="H14" s="16"/>
      <c r="I14" s="16"/>
      <c r="J14" s="16"/>
      <c r="K14" s="195"/>
      <c r="L14" s="195"/>
      <c r="M14" s="195"/>
      <c r="N14" s="195"/>
      <c r="Z14" s="10"/>
    </row>
    <row r="15" spans="1:26" ht="20.100000000000001" customHeight="1">
      <c r="A15" s="317" t="s">
        <v>1</v>
      </c>
      <c r="B15" s="319" t="s">
        <v>32</v>
      </c>
      <c r="C15" s="321" t="s">
        <v>18</v>
      </c>
      <c r="D15" s="323" t="s">
        <v>19</v>
      </c>
      <c r="E15" s="325" t="s">
        <v>610</v>
      </c>
      <c r="F15" s="104"/>
      <c r="G15" s="91"/>
      <c r="H15" s="92"/>
      <c r="I15" s="91"/>
      <c r="J15" s="92" t="s">
        <v>12</v>
      </c>
      <c r="K15" s="91"/>
      <c r="L15" s="91"/>
      <c r="M15" s="91"/>
      <c r="N15" s="92"/>
      <c r="O15" s="92"/>
      <c r="P15" s="92"/>
      <c r="Q15" s="93"/>
      <c r="R15" s="29"/>
      <c r="S15" s="29"/>
      <c r="T15" s="2"/>
      <c r="U15" s="2"/>
      <c r="V15" s="2"/>
      <c r="W15" s="2"/>
      <c r="Z15" s="10"/>
    </row>
    <row r="16" spans="1:26" s="1" customFormat="1" ht="20.100000000000001" customHeight="1" thickBot="1">
      <c r="A16" s="318"/>
      <c r="B16" s="320"/>
      <c r="C16" s="322"/>
      <c r="D16" s="324"/>
      <c r="E16" s="326"/>
      <c r="F16" s="110">
        <v>2019</v>
      </c>
      <c r="G16" s="111">
        <v>2020</v>
      </c>
      <c r="H16" s="111">
        <v>2021</v>
      </c>
      <c r="I16" s="111">
        <v>2022</v>
      </c>
      <c r="J16" s="111">
        <v>2023</v>
      </c>
      <c r="K16" s="111">
        <v>2024</v>
      </c>
      <c r="L16" s="111">
        <v>2025</v>
      </c>
      <c r="M16" s="111">
        <v>2026</v>
      </c>
      <c r="N16" s="111">
        <v>2027</v>
      </c>
      <c r="O16" s="111">
        <v>2028</v>
      </c>
      <c r="P16" s="111">
        <v>2029</v>
      </c>
      <c r="Q16" s="112">
        <v>2030</v>
      </c>
      <c r="R16" s="16"/>
      <c r="S16" s="16"/>
      <c r="T16" s="16"/>
      <c r="U16" s="16"/>
      <c r="V16" s="16"/>
      <c r="W16" s="16"/>
      <c r="X16" s="17"/>
      <c r="Y16" s="17"/>
      <c r="Z16" s="17"/>
    </row>
    <row r="17" spans="1:26" ht="40.15" customHeight="1" thickTop="1">
      <c r="A17" s="113" t="s">
        <v>34</v>
      </c>
      <c r="B17" s="114">
        <f>COUNTA('pow podst'!K3:K41)</f>
        <v>34</v>
      </c>
      <c r="C17" s="115">
        <f>SUM('pow podst'!J3:J41)</f>
        <v>397073753.34999996</v>
      </c>
      <c r="D17" s="116">
        <f>SUM('pow podst'!L3:L41)</f>
        <v>191595568.27000004</v>
      </c>
      <c r="E17" s="117">
        <f>SUM('pow podst'!K3:K41)</f>
        <v>205478185.07999998</v>
      </c>
      <c r="F17" s="118">
        <f>SUM('pow podst'!N3:N41)</f>
        <v>0</v>
      </c>
      <c r="G17" s="115">
        <f>SUM('pow podst'!O3:O41)</f>
        <v>0</v>
      </c>
      <c r="H17" s="115">
        <f>SUM('pow podst'!P3:P41)</f>
        <v>0</v>
      </c>
      <c r="I17" s="115">
        <f>SUM('pow podst'!Q3:Q41)</f>
        <v>8835060.5500000007</v>
      </c>
      <c r="J17" s="115">
        <f>SUM('pow podst'!R3:R41)</f>
        <v>30143168.990000002</v>
      </c>
      <c r="K17" s="115">
        <f>SUM('pow podst'!S3:S41)</f>
        <v>100012806.44999999</v>
      </c>
      <c r="L17" s="115">
        <f>SUM('pow podst'!T3:T41)</f>
        <v>30210699.150000002</v>
      </c>
      <c r="M17" s="115">
        <f>SUM('pow podst'!U3:U41)</f>
        <v>31721479.93999999</v>
      </c>
      <c r="N17" s="115">
        <f>SUM('pow podst'!V3:V41)</f>
        <v>4554970</v>
      </c>
      <c r="O17" s="115">
        <f>SUM('pow podst'!W3:W41)</f>
        <v>0</v>
      </c>
      <c r="P17" s="115">
        <f>SUM('pow podst'!X3:X41)</f>
        <v>0</v>
      </c>
      <c r="Q17" s="119">
        <f>SUM('pow podst'!Y3:Y41)</f>
        <v>0</v>
      </c>
      <c r="R17" s="18" t="b">
        <f>C17=(D17+E17)</f>
        <v>1</v>
      </c>
      <c r="S17" s="37" t="b">
        <f>E17=SUM(F17:Q17)</f>
        <v>1</v>
      </c>
      <c r="T17" s="19"/>
      <c r="U17" s="19"/>
      <c r="V17" s="20"/>
      <c r="W17" s="20"/>
      <c r="X17" s="21"/>
      <c r="Y17" s="10"/>
      <c r="Z17" s="10"/>
    </row>
    <row r="18" spans="1:26" ht="40.15" customHeight="1">
      <c r="A18" s="120" t="s">
        <v>35</v>
      </c>
      <c r="B18" s="163">
        <f>COUNTIF('pow podst'!C3:C41,"K")</f>
        <v>10</v>
      </c>
      <c r="C18" s="164">
        <f>SUMIF('pow podst'!C3:C41,"K",'pow podst'!J3:J41)</f>
        <v>155972388.50999999</v>
      </c>
      <c r="D18" s="165">
        <f>SUMIF('pow podst'!C3:C41,"K",'pow podst'!L3:L41)</f>
        <v>77359731.709999993</v>
      </c>
      <c r="E18" s="46">
        <f>SUMIF('pow podst'!C3:C41,"K",'pow podst'!K3:K41)</f>
        <v>78612656.799999997</v>
      </c>
      <c r="F18" s="172">
        <f>SUMIF('pow podst'!C3:C41,"K",'pow podst'!N3:N41)</f>
        <v>0</v>
      </c>
      <c r="G18" s="164">
        <f>SUMIF('pow podst'!C3:C41,"K",'pow podst'!O3:O41)</f>
        <v>0</v>
      </c>
      <c r="H18" s="164">
        <f>SUMIF('pow podst'!C3:C41,"K",'pow podst'!P3:P41)</f>
        <v>0</v>
      </c>
      <c r="I18" s="164">
        <f>SUMIF('pow podst'!C3:C41,"K",'pow podst'!Q3:Q41)</f>
        <v>8835060.5500000007</v>
      </c>
      <c r="J18" s="164">
        <f>SUMIF('pow podst'!C3:C41,"K",'pow podst'!R3:R41)</f>
        <v>30143168.990000002</v>
      </c>
      <c r="K18" s="164">
        <f>SUMIF('pow podst'!C3:C41,"K",'pow podst'!S3:S41)</f>
        <v>33604518.259999998</v>
      </c>
      <c r="L18" s="164">
        <f>SUMIF('pow podst'!C3:C41,"K",'pow podst'!T3:T41)</f>
        <v>6029909</v>
      </c>
      <c r="M18" s="164">
        <f>SUMIF('pow podst'!C3:C41,"K",'pow podst'!U3:U41)</f>
        <v>0</v>
      </c>
      <c r="N18" s="164">
        <f>SUMIF('pow podst'!C3:C41,"K",'pow podst'!V3:V41)</f>
        <v>0</v>
      </c>
      <c r="O18" s="164">
        <f>SUMIF('pow podst'!C3:C41,"K",'pow podst'!W3:W41)</f>
        <v>0</v>
      </c>
      <c r="P18" s="164">
        <f>SUMIF('pow podst'!D3:D41,"K",'pow podst'!X3:X41)</f>
        <v>0</v>
      </c>
      <c r="Q18" s="173">
        <f>SUMIF('pow podst'!E3:E41,"K",'pow podst'!Y3:Y41)</f>
        <v>0</v>
      </c>
      <c r="R18" s="18" t="b">
        <f t="shared" ref="R18:R41" si="0">C18=(D18+E18)</f>
        <v>1</v>
      </c>
      <c r="S18" s="37" t="b">
        <f t="shared" ref="S18:S41" si="1">E18=SUM(F18:Q18)</f>
        <v>1</v>
      </c>
      <c r="T18" s="19"/>
      <c r="U18" s="19"/>
      <c r="V18" s="20"/>
      <c r="W18" s="20"/>
      <c r="X18" s="21"/>
      <c r="Y18" s="10"/>
      <c r="Z18" s="10"/>
    </row>
    <row r="19" spans="1:26" ht="40.15" customHeight="1">
      <c r="A19" s="121" t="s">
        <v>36</v>
      </c>
      <c r="B19" s="166">
        <f>COUNTIF('pow podst'!C3:C41,"N")</f>
        <v>14</v>
      </c>
      <c r="C19" s="167">
        <f>SUMIF('pow podst'!C3:C41,"N",'pow podst'!J3:J41)</f>
        <v>66099624.600000009</v>
      </c>
      <c r="D19" s="168">
        <f>SUMIF('pow podst'!C3:C41,"N",'pow podst'!L3:L41)</f>
        <v>26093466.189999998</v>
      </c>
      <c r="E19" s="45">
        <f>SUMIF('pow podst'!C3:C41,"N",'pow podst'!K3:K41)</f>
        <v>40006158.409999996</v>
      </c>
      <c r="F19" s="174">
        <f>SUMIF('pow podst'!C3:C41,"N",'pow podst'!N3:N41)</f>
        <v>0</v>
      </c>
      <c r="G19" s="167">
        <f>SUMIF('pow podst'!C3:C41,"N",'pow podst'!O3:O41)</f>
        <v>0</v>
      </c>
      <c r="H19" s="167">
        <f>SUMIF('pow podst'!C3:C41,"N",'pow podst'!P3:P41)</f>
        <v>0</v>
      </c>
      <c r="I19" s="167">
        <f>SUMIF('pow podst'!C3:C41,"N",'pow podst'!Q3:Q41)</f>
        <v>0</v>
      </c>
      <c r="J19" s="167">
        <f>SUMIF('pow podst'!C3:C41,"N",'pow podst'!R3:R41)</f>
        <v>0</v>
      </c>
      <c r="K19" s="167">
        <f>SUMIF('pow podst'!C3:C41,"N",'pow podst'!S3:S41)</f>
        <v>40006158.409999996</v>
      </c>
      <c r="L19" s="167">
        <f>SUMIF('pow podst'!C3:C41,"N",'pow podst'!T3:T41)</f>
        <v>0</v>
      </c>
      <c r="M19" s="167">
        <f>SUMIF('pow podst'!C3:C41,"N",'pow podst'!U3:U41)</f>
        <v>0</v>
      </c>
      <c r="N19" s="167">
        <f>SUMIF('pow podst'!C3:C41,"N",'pow podst'!V3:V41)</f>
        <v>0</v>
      </c>
      <c r="O19" s="167">
        <f>SUMIF('pow podst'!C3:C41,"N",'pow podst'!W3:W41)</f>
        <v>0</v>
      </c>
      <c r="P19" s="167">
        <f>SUMIF('pow podst'!D3:D41,"N",'pow podst'!X3:X41)</f>
        <v>0</v>
      </c>
      <c r="Q19" s="175">
        <f>SUMIF('pow podst'!E3:E41,"N",'pow podst'!Y3:Y41)</f>
        <v>0</v>
      </c>
      <c r="R19" s="18" t="b">
        <f t="shared" si="0"/>
        <v>1</v>
      </c>
      <c r="S19" s="37" t="b">
        <f t="shared" si="1"/>
        <v>1</v>
      </c>
      <c r="T19" s="19"/>
      <c r="U19" s="19"/>
      <c r="V19" s="20"/>
      <c r="W19" s="20"/>
      <c r="X19" s="21"/>
      <c r="Y19" s="10"/>
      <c r="Z19" s="10"/>
    </row>
    <row r="20" spans="1:26" ht="40.15" customHeight="1" thickBot="1">
      <c r="A20" s="122" t="s">
        <v>37</v>
      </c>
      <c r="B20" s="169">
        <f>COUNTIF('pow podst'!C3:C41,"W")</f>
        <v>10</v>
      </c>
      <c r="C20" s="170">
        <f>SUMIF('pow podst'!C3:C41,"W",'pow podst'!J3:J41)</f>
        <v>175001740.24000001</v>
      </c>
      <c r="D20" s="171">
        <f>SUMIF('pow podst'!C3:C41,"W",'pow podst'!L3:L41)</f>
        <v>88142370.370000005</v>
      </c>
      <c r="E20" s="123">
        <f>SUMIF('pow podst'!C3:C41,"W",'pow podst'!K3:K41)</f>
        <v>86859369.869999975</v>
      </c>
      <c r="F20" s="176">
        <f>SUMIF('pow podst'!C3:C41,"W",'pow podst'!N3:N41)</f>
        <v>0</v>
      </c>
      <c r="G20" s="170">
        <f>SUMIF('pow podst'!C3:C41,"W",'pow podst'!O3:O41)</f>
        <v>0</v>
      </c>
      <c r="H20" s="170">
        <f>SUMIF('pow podst'!C3:C41,"W",'pow podst'!P3:P41)</f>
        <v>0</v>
      </c>
      <c r="I20" s="170">
        <f>SUMIF('pow podst'!C3:C41,"W",'pow podst'!Q3:Q41)</f>
        <v>0</v>
      </c>
      <c r="J20" s="170">
        <f>SUMIF('pow podst'!C3:C41,"W",'pow podst'!R3:R41)</f>
        <v>0</v>
      </c>
      <c r="K20" s="170">
        <f>SUMIF('pow podst'!C3:C41,"W",'pow podst'!S3:S41)</f>
        <v>26402129.780000001</v>
      </c>
      <c r="L20" s="170">
        <f>SUMIF('pow podst'!C3:C41,"W",'pow podst'!T3:T41)</f>
        <v>24180790.150000002</v>
      </c>
      <c r="M20" s="170">
        <f>SUMIF('pow podst'!C3:C41,"W",'pow podst'!U3:U41)</f>
        <v>31721479.93999999</v>
      </c>
      <c r="N20" s="170">
        <f>SUMIF('pow podst'!C3:C41,"W",'pow podst'!V3:V41)</f>
        <v>4554970</v>
      </c>
      <c r="O20" s="170">
        <f>SUMIF('pow podst'!C3:C41,"W",'pow podst'!W3:W41)</f>
        <v>0</v>
      </c>
      <c r="P20" s="170">
        <f>SUMIF('pow podst'!D3:D41,"W",'pow podst'!X3:X41)</f>
        <v>0</v>
      </c>
      <c r="Q20" s="177">
        <f>SUMIF('pow podst'!E3:E41,"W",'pow podst'!Y3:Y41)</f>
        <v>0</v>
      </c>
      <c r="R20" s="18" t="b">
        <f t="shared" si="0"/>
        <v>1</v>
      </c>
      <c r="S20" s="37" t="b">
        <f t="shared" si="1"/>
        <v>1</v>
      </c>
      <c r="T20" s="19"/>
      <c r="U20" s="19"/>
      <c r="V20" s="20"/>
      <c r="W20" s="20"/>
      <c r="X20" s="21"/>
      <c r="Y20" s="10"/>
      <c r="Z20" s="10"/>
    </row>
    <row r="21" spans="1:26" ht="40.15" customHeight="1" thickTop="1">
      <c r="A21" s="113" t="s">
        <v>38</v>
      </c>
      <c r="B21" s="114">
        <f>COUNTA('gm podst'!L3:L118)</f>
        <v>101</v>
      </c>
      <c r="C21" s="115">
        <f>SUM('gm podst'!K3:K118)</f>
        <v>385332245.83999979</v>
      </c>
      <c r="D21" s="116">
        <f>SUM('gm podst'!M3:M118)</f>
        <v>200017818.97999996</v>
      </c>
      <c r="E21" s="117">
        <f>SUM('gm podst'!L3:L118)</f>
        <v>185314426.85999992</v>
      </c>
      <c r="F21" s="178">
        <f>SUM('gm podst'!O3:O118)</f>
        <v>0</v>
      </c>
      <c r="G21" s="179">
        <f>SUM('gm podst'!P3:P118)</f>
        <v>0</v>
      </c>
      <c r="H21" s="179">
        <f>SUM('gm podst'!Q3:Q118)</f>
        <v>4414130</v>
      </c>
      <c r="I21" s="179">
        <f>SUM('gm podst'!R3:R118)</f>
        <v>4519307</v>
      </c>
      <c r="J21" s="179">
        <f>SUM('gm podst'!S3:S118)</f>
        <v>16681380.76</v>
      </c>
      <c r="K21" s="179">
        <f>SUM('gm podst'!T3:T118)</f>
        <v>119263549.81999999</v>
      </c>
      <c r="L21" s="179">
        <f>SUM('gm podst'!U3:U118)</f>
        <v>26270299.649999999</v>
      </c>
      <c r="M21" s="179">
        <f>SUM('gm podst'!V3:V118)</f>
        <v>14165759.630000001</v>
      </c>
      <c r="N21" s="179">
        <f>SUM('gm podst'!W3:W118)</f>
        <v>0</v>
      </c>
      <c r="O21" s="179">
        <f>SUM('gm podst'!X3:X118)</f>
        <v>0</v>
      </c>
      <c r="P21" s="179">
        <f>SUM('gm podst'!Y3:Y118)</f>
        <v>0</v>
      </c>
      <c r="Q21" s="180">
        <f>SUM('gm podst'!Z3:Z118)</f>
        <v>0</v>
      </c>
      <c r="R21" s="18" t="b">
        <f t="shared" si="0"/>
        <v>1</v>
      </c>
      <c r="S21" s="37" t="b">
        <f t="shared" si="1"/>
        <v>1</v>
      </c>
      <c r="T21" s="19"/>
      <c r="U21" s="19"/>
      <c r="V21" s="20"/>
      <c r="W21" s="20"/>
      <c r="X21" s="20"/>
      <c r="Y21" s="20"/>
      <c r="Z21" s="20"/>
    </row>
    <row r="22" spans="1:26" ht="40.15" customHeight="1">
      <c r="A22" s="120" t="s">
        <v>35</v>
      </c>
      <c r="B22" s="163">
        <f>COUNTIF('gm podst'!C3:C118,"K")</f>
        <v>22</v>
      </c>
      <c r="C22" s="164">
        <f>SUMIF('gm podst'!C3:C118,"K",'gm podst'!K3:K118)</f>
        <v>132203595.48999998</v>
      </c>
      <c r="D22" s="165">
        <f>SUMIF('gm podst'!C3:C118,"K",'gm podst'!M3:M118)</f>
        <v>71465888.779999986</v>
      </c>
      <c r="E22" s="46">
        <f>SUMIF('gm podst'!C3:C118,"K",'gm podst'!L3:L118)</f>
        <v>60737706.709999993</v>
      </c>
      <c r="F22" s="172">
        <f>SUMIF('gm podst'!C3:C118,"K",'gm podst'!O3:O118)</f>
        <v>0</v>
      </c>
      <c r="G22" s="164">
        <f>SUMIF('gm podst'!C3:C118,"K",'gm podst'!P3:P118)</f>
        <v>0</v>
      </c>
      <c r="H22" s="164">
        <f>SUMIF('gm podst'!C3:C118,"K",'gm podst'!Q3:Q118)</f>
        <v>4414130</v>
      </c>
      <c r="I22" s="164">
        <f>SUMIF('gm podst'!C3:C118,"K",'gm podst'!R3:R118)</f>
        <v>4519307</v>
      </c>
      <c r="J22" s="164">
        <f>SUMIF('gm podst'!C3:C118,"K",'gm podst'!S3:S118)</f>
        <v>16681380.76</v>
      </c>
      <c r="K22" s="164">
        <f>SUMIF('gm podst'!C3:C118,"K",'gm podst'!T3:T118)</f>
        <v>25803192.609999999</v>
      </c>
      <c r="L22" s="164">
        <f>SUMIF('gm podst'!C3:C118,"K",'gm podst'!U3:U118)</f>
        <v>6336009.3599999994</v>
      </c>
      <c r="M22" s="164">
        <f>SUMIF('gm podst'!C3:C118,"K",'gm podst'!V3:V118)</f>
        <v>2983686.98</v>
      </c>
      <c r="N22" s="164">
        <f>SUMIF('gm podst'!C3:C118,"K",'gm podst'!W3:W118)</f>
        <v>0</v>
      </c>
      <c r="O22" s="164">
        <f>SUMIF('gm podst'!C3:C118,"K",'gm podst'!X3:X118)</f>
        <v>0</v>
      </c>
      <c r="P22" s="164">
        <f>SUMIF('gm podst'!D3:D118,"K",'gm podst'!Y3:Y118)</f>
        <v>0</v>
      </c>
      <c r="Q22" s="173">
        <f>SUMIF('gm podst'!E3:E118,"K",'gm podst'!Z3:Z118)</f>
        <v>0</v>
      </c>
      <c r="R22" s="18" t="b">
        <f t="shared" si="0"/>
        <v>1</v>
      </c>
      <c r="S22" s="37" t="b">
        <f t="shared" si="1"/>
        <v>1</v>
      </c>
      <c r="T22" s="19"/>
      <c r="U22" s="19"/>
      <c r="V22" s="20"/>
      <c r="W22" s="20"/>
      <c r="X22" s="20"/>
      <c r="Y22" s="20"/>
      <c r="Z22" s="20"/>
    </row>
    <row r="23" spans="1:26" ht="40.15" customHeight="1">
      <c r="A23" s="121" t="s">
        <v>36</v>
      </c>
      <c r="B23" s="166">
        <f>COUNTIF('gm podst'!C3:C118,"N")</f>
        <v>56</v>
      </c>
      <c r="C23" s="167">
        <f>SUMIF('gm podst'!C3:C118,"N",'gm podst'!K3:K118)</f>
        <v>107930608.55</v>
      </c>
      <c r="D23" s="168">
        <f>SUMIF('gm podst'!C3:C118,"N",'gm podst'!M3:M118)</f>
        <v>45824572.690000005</v>
      </c>
      <c r="E23" s="45">
        <f>SUMIF('gm podst'!C3:C118,"N",'gm podst'!L3:L118)</f>
        <v>62106035.860000037</v>
      </c>
      <c r="F23" s="174">
        <f>SUMIF('gm podst'!C3:C118,"N",'gm podst'!O3:O118)</f>
        <v>0</v>
      </c>
      <c r="G23" s="167">
        <f>SUMIF('gm podst'!C3:C118,"N",'gm podst'!P3:P118)</f>
        <v>0</v>
      </c>
      <c r="H23" s="167">
        <f>SUMIF('gm podst'!C3:C118,"N",'gm podst'!Q3:Q118)</f>
        <v>0</v>
      </c>
      <c r="I23" s="167">
        <f>SUMIF('gm podst'!C3:C118,"N",'gm podst'!R3:R118)</f>
        <v>0</v>
      </c>
      <c r="J23" s="167">
        <f>SUMIF('gm podst'!C3:C118,"N",'gm podst'!S3:S118)</f>
        <v>0</v>
      </c>
      <c r="K23" s="167">
        <f>SUMIF('gm podst'!C3:C118,"N",'gm podst'!T3:T118)</f>
        <v>62106035.860000037</v>
      </c>
      <c r="L23" s="167">
        <f>SUMIF('gm podst'!C3:C118,"N",'gm podst'!U3:U118)</f>
        <v>0</v>
      </c>
      <c r="M23" s="167">
        <f>SUMIF('gm podst'!C3:C118,"N",'gm podst'!V3:V118)</f>
        <v>0</v>
      </c>
      <c r="N23" s="167">
        <f>SUMIF('gm podst'!C3:C118,"N",'gm podst'!W3:W118)</f>
        <v>0</v>
      </c>
      <c r="O23" s="167">
        <f>SUMIF('gm podst'!C3:C118,"N",'gm podst'!X3:X118)</f>
        <v>0</v>
      </c>
      <c r="P23" s="167">
        <f>SUMIF('gm podst'!D3:D118,"N",'gm podst'!Y3:Y118)</f>
        <v>0</v>
      </c>
      <c r="Q23" s="175">
        <f>SUMIF('gm podst'!E3:E118,"N",'gm podst'!Z3:Z118)</f>
        <v>0</v>
      </c>
      <c r="R23" s="18" t="b">
        <f t="shared" si="0"/>
        <v>1</v>
      </c>
      <c r="S23" s="37" t="b">
        <f t="shared" si="1"/>
        <v>1</v>
      </c>
      <c r="T23" s="19"/>
      <c r="U23" s="19"/>
      <c r="V23" s="20"/>
      <c r="W23" s="20"/>
      <c r="X23" s="20"/>
      <c r="Y23" s="20"/>
      <c r="Z23" s="20"/>
    </row>
    <row r="24" spans="1:26" ht="40.15" customHeight="1" thickBot="1">
      <c r="A24" s="122" t="s">
        <v>37</v>
      </c>
      <c r="B24" s="169">
        <f>COUNTIF('gm podst'!C3:C118,"W")</f>
        <v>23</v>
      </c>
      <c r="C24" s="170">
        <f>SUMIF('gm podst'!C3:C118,"W",'gm podst'!K3:K118)</f>
        <v>145198041.79999998</v>
      </c>
      <c r="D24" s="171">
        <f>SUMIF('gm podst'!C3:C118,"W",'gm podst'!M3:M118)</f>
        <v>82727357.50999999</v>
      </c>
      <c r="E24" s="123">
        <f>SUMIF('gm podst'!C3:C118,"W",'gm podst'!L3:L118)</f>
        <v>62470684.290000007</v>
      </c>
      <c r="F24" s="176">
        <f>SUMIF('gm podst'!C3:C118,"W",'gm podst'!O3:O118)</f>
        <v>0</v>
      </c>
      <c r="G24" s="170">
        <f>SUMIF('gm podst'!C3:C118,"W",'gm podst'!P3:P118)</f>
        <v>0</v>
      </c>
      <c r="H24" s="170">
        <f>SUMIF('gm podst'!C3:C118,"W",'gm podst'!Q3:Q118)</f>
        <v>0</v>
      </c>
      <c r="I24" s="170">
        <f>SUMIF('gm podst'!C3:C118,"W",'gm podst'!R3:R118)</f>
        <v>0</v>
      </c>
      <c r="J24" s="170">
        <f>SUMIF('gm podst'!C3:C118,"W",'gm podst'!S3:S118)</f>
        <v>0</v>
      </c>
      <c r="K24" s="170">
        <f>SUMIF('gm podst'!C3:C118,"W",'gm podst'!T3:T118)</f>
        <v>31354321.350000001</v>
      </c>
      <c r="L24" s="170">
        <f>SUMIF('gm podst'!C3:C118,"W",'gm podst'!U3:U118)</f>
        <v>19934290.289999999</v>
      </c>
      <c r="M24" s="170">
        <f>SUMIF('gm podst'!C3:C118,"W",'gm podst'!V3:V118)</f>
        <v>11182072.65</v>
      </c>
      <c r="N24" s="170">
        <f>SUMIF('gm podst'!C3:C118,"W",'gm podst'!W3:W118)</f>
        <v>0</v>
      </c>
      <c r="O24" s="170">
        <f>SUMIF('gm podst'!C3:C118,"W",'gm podst'!X3:X118)</f>
        <v>0</v>
      </c>
      <c r="P24" s="170">
        <f>SUMIF('gm podst'!D3:D118,"W",'gm podst'!Y3:Y118)</f>
        <v>0</v>
      </c>
      <c r="Q24" s="177">
        <f>SUMIF('gm podst'!E3:E118,"W",'gm podst'!Z3:Z118)</f>
        <v>0</v>
      </c>
      <c r="R24" s="18" t="b">
        <f t="shared" si="0"/>
        <v>1</v>
      </c>
      <c r="S24" s="37" t="b">
        <f t="shared" si="1"/>
        <v>1</v>
      </c>
      <c r="T24" s="19"/>
      <c r="U24" s="19"/>
      <c r="V24" s="20"/>
      <c r="W24" s="20"/>
      <c r="X24" s="20"/>
      <c r="Y24" s="20"/>
      <c r="Z24" s="20"/>
    </row>
    <row r="25" spans="1:26" s="24" customFormat="1" ht="40.15" customHeight="1" thickTop="1">
      <c r="A25" s="124" t="s">
        <v>39</v>
      </c>
      <c r="B25" s="125">
        <f>B17+B21</f>
        <v>135</v>
      </c>
      <c r="C25" s="126">
        <f>C17+C21</f>
        <v>782405999.18999982</v>
      </c>
      <c r="D25" s="127">
        <f t="shared" ref="C25:O27" si="2">D17+D21</f>
        <v>391613387.25</v>
      </c>
      <c r="E25" s="128">
        <f t="shared" si="2"/>
        <v>390792611.93999994</v>
      </c>
      <c r="F25" s="129">
        <f t="shared" si="2"/>
        <v>0</v>
      </c>
      <c r="G25" s="126">
        <f t="shared" si="2"/>
        <v>0</v>
      </c>
      <c r="H25" s="126">
        <f t="shared" si="2"/>
        <v>4414130</v>
      </c>
      <c r="I25" s="126">
        <f t="shared" si="2"/>
        <v>13354367.550000001</v>
      </c>
      <c r="J25" s="126">
        <f t="shared" si="2"/>
        <v>46824549.75</v>
      </c>
      <c r="K25" s="126">
        <f t="shared" si="2"/>
        <v>219276356.26999998</v>
      </c>
      <c r="L25" s="126">
        <f t="shared" si="2"/>
        <v>56480998.799999997</v>
      </c>
      <c r="M25" s="126">
        <f t="shared" si="2"/>
        <v>45887239.569999993</v>
      </c>
      <c r="N25" s="126">
        <f t="shared" si="2"/>
        <v>4554970</v>
      </c>
      <c r="O25" s="126">
        <f t="shared" si="2"/>
        <v>0</v>
      </c>
      <c r="P25" s="126">
        <f t="shared" ref="P25:Q25" si="3">P17+P21</f>
        <v>0</v>
      </c>
      <c r="Q25" s="130">
        <f t="shared" si="3"/>
        <v>0</v>
      </c>
      <c r="R25" s="18" t="b">
        <f t="shared" si="0"/>
        <v>1</v>
      </c>
      <c r="S25" s="37" t="b">
        <f t="shared" si="1"/>
        <v>1</v>
      </c>
      <c r="T25" s="22"/>
      <c r="U25" s="22"/>
      <c r="V25" s="23"/>
      <c r="W25" s="23"/>
      <c r="X25" s="23"/>
      <c r="Y25" s="23"/>
      <c r="Z25" s="23"/>
    </row>
    <row r="26" spans="1:26" s="24" customFormat="1" ht="40.15" customHeight="1">
      <c r="A26" s="131" t="s">
        <v>35</v>
      </c>
      <c r="B26" s="95">
        <f>B18+B22</f>
        <v>32</v>
      </c>
      <c r="C26" s="87">
        <f t="shared" si="2"/>
        <v>288175984</v>
      </c>
      <c r="D26" s="100">
        <f t="shared" si="2"/>
        <v>148825620.48999998</v>
      </c>
      <c r="E26" s="46">
        <f t="shared" si="2"/>
        <v>139350363.50999999</v>
      </c>
      <c r="F26" s="105">
        <f t="shared" si="2"/>
        <v>0</v>
      </c>
      <c r="G26" s="87">
        <f t="shared" si="2"/>
        <v>0</v>
      </c>
      <c r="H26" s="87">
        <f t="shared" si="2"/>
        <v>4414130</v>
      </c>
      <c r="I26" s="87">
        <f t="shared" si="2"/>
        <v>13354367.550000001</v>
      </c>
      <c r="J26" s="87">
        <f t="shared" si="2"/>
        <v>46824549.75</v>
      </c>
      <c r="K26" s="87">
        <f t="shared" si="2"/>
        <v>59407710.869999997</v>
      </c>
      <c r="L26" s="87">
        <f t="shared" si="2"/>
        <v>12365918.359999999</v>
      </c>
      <c r="M26" s="87">
        <f t="shared" si="2"/>
        <v>2983686.98</v>
      </c>
      <c r="N26" s="87">
        <f t="shared" si="2"/>
        <v>0</v>
      </c>
      <c r="O26" s="87">
        <f t="shared" si="2"/>
        <v>0</v>
      </c>
      <c r="P26" s="87">
        <f t="shared" ref="P26:Q26" si="4">P18+P22</f>
        <v>0</v>
      </c>
      <c r="Q26" s="132">
        <f t="shared" si="4"/>
        <v>0</v>
      </c>
      <c r="R26" s="18" t="b">
        <f t="shared" si="0"/>
        <v>1</v>
      </c>
      <c r="S26" s="37" t="b">
        <f>E26=SUM(F26:Q26)</f>
        <v>1</v>
      </c>
      <c r="T26" s="22"/>
      <c r="U26" s="22"/>
      <c r="V26" s="23"/>
      <c r="W26" s="23"/>
      <c r="X26" s="23"/>
      <c r="Y26" s="23"/>
      <c r="Z26" s="23"/>
    </row>
    <row r="27" spans="1:26" s="24" customFormat="1" ht="40.15" customHeight="1">
      <c r="A27" s="133" t="s">
        <v>36</v>
      </c>
      <c r="B27" s="96">
        <f>B19+B23</f>
        <v>70</v>
      </c>
      <c r="C27" s="90">
        <f t="shared" si="2"/>
        <v>174030233.15000001</v>
      </c>
      <c r="D27" s="101">
        <f t="shared" si="2"/>
        <v>71918038.879999995</v>
      </c>
      <c r="E27" s="45">
        <f t="shared" si="2"/>
        <v>102112194.27000004</v>
      </c>
      <c r="F27" s="106">
        <f t="shared" si="2"/>
        <v>0</v>
      </c>
      <c r="G27" s="90">
        <f t="shared" si="2"/>
        <v>0</v>
      </c>
      <c r="H27" s="90">
        <f t="shared" si="2"/>
        <v>0</v>
      </c>
      <c r="I27" s="90">
        <f t="shared" si="2"/>
        <v>0</v>
      </c>
      <c r="J27" s="90">
        <f t="shared" si="2"/>
        <v>0</v>
      </c>
      <c r="K27" s="90">
        <f t="shared" si="2"/>
        <v>102112194.27000004</v>
      </c>
      <c r="L27" s="90">
        <f t="shared" si="2"/>
        <v>0</v>
      </c>
      <c r="M27" s="90">
        <f t="shared" si="2"/>
        <v>0</v>
      </c>
      <c r="N27" s="90">
        <f t="shared" si="2"/>
        <v>0</v>
      </c>
      <c r="O27" s="90">
        <f t="shared" si="2"/>
        <v>0</v>
      </c>
      <c r="P27" s="90">
        <f t="shared" ref="P27:Q27" si="5">P19+P23</f>
        <v>0</v>
      </c>
      <c r="Q27" s="134">
        <f t="shared" si="5"/>
        <v>0</v>
      </c>
      <c r="R27" s="18" t="b">
        <f t="shared" si="0"/>
        <v>1</v>
      </c>
      <c r="S27" s="37" t="b">
        <f t="shared" si="1"/>
        <v>1</v>
      </c>
      <c r="T27" s="22"/>
      <c r="U27" s="22"/>
      <c r="V27" s="23"/>
      <c r="W27" s="23"/>
      <c r="X27" s="23"/>
      <c r="Y27" s="23"/>
      <c r="Z27" s="23"/>
    </row>
    <row r="28" spans="1:26" s="24" customFormat="1" ht="40.15" customHeight="1" thickBot="1">
      <c r="A28" s="135" t="s">
        <v>37</v>
      </c>
      <c r="B28" s="136">
        <f>B20+B24</f>
        <v>33</v>
      </c>
      <c r="C28" s="137">
        <f t="shared" ref="C28:O28" si="6">C20+C24</f>
        <v>320199782.03999996</v>
      </c>
      <c r="D28" s="138">
        <f t="shared" si="6"/>
        <v>170869727.88</v>
      </c>
      <c r="E28" s="123">
        <f t="shared" si="6"/>
        <v>149330054.15999997</v>
      </c>
      <c r="F28" s="139">
        <f t="shared" si="6"/>
        <v>0</v>
      </c>
      <c r="G28" s="137">
        <f t="shared" si="6"/>
        <v>0</v>
      </c>
      <c r="H28" s="137">
        <f t="shared" si="6"/>
        <v>0</v>
      </c>
      <c r="I28" s="137">
        <f t="shared" si="6"/>
        <v>0</v>
      </c>
      <c r="J28" s="137">
        <f t="shared" si="6"/>
        <v>0</v>
      </c>
      <c r="K28" s="137">
        <f t="shared" si="6"/>
        <v>57756451.130000003</v>
      </c>
      <c r="L28" s="137">
        <f t="shared" si="6"/>
        <v>44115080.439999998</v>
      </c>
      <c r="M28" s="137">
        <f t="shared" si="6"/>
        <v>42903552.589999989</v>
      </c>
      <c r="N28" s="137">
        <f t="shared" si="6"/>
        <v>4554970</v>
      </c>
      <c r="O28" s="137">
        <f t="shared" si="6"/>
        <v>0</v>
      </c>
      <c r="P28" s="137">
        <f t="shared" ref="P28:Q28" si="7">P20+P24</f>
        <v>0</v>
      </c>
      <c r="Q28" s="140">
        <f t="shared" si="7"/>
        <v>0</v>
      </c>
      <c r="R28" s="18" t="b">
        <f t="shared" si="0"/>
        <v>1</v>
      </c>
      <c r="S28" s="37" t="b">
        <f t="shared" si="1"/>
        <v>1</v>
      </c>
      <c r="T28" s="22"/>
      <c r="U28" s="22"/>
      <c r="V28" s="23"/>
      <c r="W28" s="23"/>
      <c r="X28" s="23"/>
      <c r="Y28" s="23"/>
      <c r="Z28" s="23"/>
    </row>
    <row r="29" spans="1:26" ht="40.15" customHeight="1" thickTop="1">
      <c r="A29" s="113" t="s">
        <v>2</v>
      </c>
      <c r="B29" s="114">
        <f>COUNTA('pow rez'!K3:K5)</f>
        <v>0</v>
      </c>
      <c r="C29" s="115">
        <f>SUM('pow rez'!J3:J5)</f>
        <v>0</v>
      </c>
      <c r="D29" s="116">
        <f>SUM('pow rez'!L3:L5)</f>
        <v>0</v>
      </c>
      <c r="E29" s="117">
        <f>SUM('pow rez'!K3:K5)</f>
        <v>0</v>
      </c>
      <c r="F29" s="118">
        <f>SUM('pow rez'!N3:N5)</f>
        <v>0</v>
      </c>
      <c r="G29" s="115">
        <f>SUM('pow rez'!O3:O5)</f>
        <v>0</v>
      </c>
      <c r="H29" s="115">
        <f>SUM('pow rez'!P3:P5)</f>
        <v>0</v>
      </c>
      <c r="I29" s="115">
        <f>SUM('pow rez'!Q3:Q5)</f>
        <v>0</v>
      </c>
      <c r="J29" s="115">
        <f>SUM('pow rez'!R3:R5)</f>
        <v>0</v>
      </c>
      <c r="K29" s="115">
        <f>SUM('pow rez'!S3:S5)</f>
        <v>0</v>
      </c>
      <c r="L29" s="115">
        <f>SUM('pow rez'!T3:T5)</f>
        <v>0</v>
      </c>
      <c r="M29" s="115">
        <f>SUM('pow rez'!U3:U5)</f>
        <v>0</v>
      </c>
      <c r="N29" s="115">
        <f>SUM('pow rez'!V3:V5)</f>
        <v>0</v>
      </c>
      <c r="O29" s="115">
        <f>SUM('pow rez'!W3:W5)</f>
        <v>0</v>
      </c>
      <c r="P29" s="115">
        <f>SUM('pow rez'!X3:X5)</f>
        <v>0</v>
      </c>
      <c r="Q29" s="119">
        <f>SUM('pow rez'!Y3:Y5)</f>
        <v>0</v>
      </c>
      <c r="R29" s="18" t="b">
        <f t="shared" si="0"/>
        <v>1</v>
      </c>
      <c r="S29" s="37" t="b">
        <f t="shared" si="1"/>
        <v>1</v>
      </c>
      <c r="T29" s="19"/>
      <c r="U29" s="19"/>
      <c r="V29" s="20"/>
      <c r="W29" s="20"/>
      <c r="X29" s="20"/>
      <c r="Y29" s="20"/>
      <c r="Z29" s="20"/>
    </row>
    <row r="30" spans="1:26" ht="40.15" customHeight="1">
      <c r="A30" s="121" t="s">
        <v>36</v>
      </c>
      <c r="B30" s="166">
        <f>COUNTIF('pow rez'!C3:C5,"N")</f>
        <v>0</v>
      </c>
      <c r="C30" s="167">
        <f>SUMIF('pow rez'!C3:C5,"N",'pow rez'!J3:J5)</f>
        <v>0</v>
      </c>
      <c r="D30" s="168">
        <f>SUMIF('pow rez'!C3:C5,"N",'pow rez'!L3:L5)</f>
        <v>0</v>
      </c>
      <c r="E30" s="45">
        <f>SUMIF('pow rez'!C3:C5,"N",'pow rez'!K3:K5)</f>
        <v>0</v>
      </c>
      <c r="F30" s="174">
        <f>SUMIF('pow rez'!C3:C5,"N",'pow rez'!N3:N5)</f>
        <v>0</v>
      </c>
      <c r="G30" s="167">
        <f>SUMIF('pow rez'!C3:C5,"N",'pow rez'!O3:O5)</f>
        <v>0</v>
      </c>
      <c r="H30" s="167">
        <f>SUMIF('pow rez'!C3:C5,"N",'pow rez'!P3:P5)</f>
        <v>0</v>
      </c>
      <c r="I30" s="167">
        <f>SUMIF('pow rez'!C3:C5,"N",'pow rez'!Q3:Q5)</f>
        <v>0</v>
      </c>
      <c r="J30" s="167">
        <f>SUMIF('pow rez'!C3:C5,"N",'pow rez'!R3:R5)</f>
        <v>0</v>
      </c>
      <c r="K30" s="167">
        <f>SUMIF('pow rez'!C3:C5,"N",'pow rez'!S3:S5)</f>
        <v>0</v>
      </c>
      <c r="L30" s="167">
        <f>SUMIF('pow rez'!C3:C5,"N",'pow rez'!T3:T5)</f>
        <v>0</v>
      </c>
      <c r="M30" s="167">
        <f>SUMIF('pow rez'!C3:C5,"N",'pow rez'!U3:U5)</f>
        <v>0</v>
      </c>
      <c r="N30" s="167">
        <f>SUMIF('pow rez'!C3:C5,"N",'pow rez'!V3:V5)</f>
        <v>0</v>
      </c>
      <c r="O30" s="167">
        <f>SUMIF('pow rez'!C3:C5,"N",'pow rez'!W3:W5)</f>
        <v>0</v>
      </c>
      <c r="P30" s="167">
        <f>SUMIF('pow rez'!D3:D5,"N",'pow rez'!X3:X5)</f>
        <v>0</v>
      </c>
      <c r="Q30" s="175">
        <f>SUMIF('pow rez'!E3:E5,"N",'pow rez'!Y3:Y5)</f>
        <v>0</v>
      </c>
      <c r="R30" s="18" t="b">
        <f t="shared" si="0"/>
        <v>1</v>
      </c>
      <c r="S30" s="37" t="b">
        <f t="shared" si="1"/>
        <v>1</v>
      </c>
      <c r="T30" s="19"/>
      <c r="U30" s="19"/>
      <c r="V30" s="20"/>
      <c r="W30" s="20"/>
      <c r="X30" s="20"/>
      <c r="Y30" s="20"/>
      <c r="Z30" s="20"/>
    </row>
    <row r="31" spans="1:26" ht="40.15" customHeight="1" thickBot="1">
      <c r="A31" s="122" t="s">
        <v>37</v>
      </c>
      <c r="B31" s="169">
        <f>COUNTIF('pow rez'!C3:C5,"W")</f>
        <v>0</v>
      </c>
      <c r="C31" s="170">
        <f>SUMIF('pow rez'!C3:C5,"W",'pow rez'!J3:J5)</f>
        <v>0</v>
      </c>
      <c r="D31" s="171">
        <f>SUMIF('pow rez'!C3:C5,"W",'pow rez'!L3:L5)</f>
        <v>0</v>
      </c>
      <c r="E31" s="123">
        <f>SUMIF('pow rez'!C3:C5,"W",'pow rez'!K3:K5)</f>
        <v>0</v>
      </c>
      <c r="F31" s="176">
        <f>SUMIF('pow rez'!C3:C5,"W",'pow rez'!N3:N5)</f>
        <v>0</v>
      </c>
      <c r="G31" s="170">
        <f>SUMIF('pow rez'!C3:C5,"W",'pow rez'!O3:O5)</f>
        <v>0</v>
      </c>
      <c r="H31" s="170">
        <f>SUMIF('pow rez'!C3:C5,"W",'pow rez'!P3:P5)</f>
        <v>0</v>
      </c>
      <c r="I31" s="170">
        <f>SUMIF('pow rez'!C3:C5,"W",'pow rez'!Q3:Q5)</f>
        <v>0</v>
      </c>
      <c r="J31" s="170">
        <f>SUMIF('pow rez'!C3:C5,"W",'pow rez'!R3:R5)</f>
        <v>0</v>
      </c>
      <c r="K31" s="170">
        <f>SUMIF('pow rez'!C3:C5,"W",'pow rez'!S3:S5)</f>
        <v>0</v>
      </c>
      <c r="L31" s="170">
        <f>SUMIF('pow rez'!C3:C5,"W",'pow rez'!T3:T5)</f>
        <v>0</v>
      </c>
      <c r="M31" s="170">
        <f>SUMIF('pow rez'!C3:C5,"W",'pow rez'!U3:U5)</f>
        <v>0</v>
      </c>
      <c r="N31" s="170">
        <f>SUMIF('pow rez'!C3:C5,"W",'pow rez'!V3:V5)</f>
        <v>0</v>
      </c>
      <c r="O31" s="170">
        <f>SUMIF('pow rez'!C3:C5,"W",'pow rez'!W3:W5)</f>
        <v>0</v>
      </c>
      <c r="P31" s="170">
        <f>SUMIF('pow rez'!D3:D5,"W",'pow rez'!X3:X5)</f>
        <v>0</v>
      </c>
      <c r="Q31" s="177">
        <f>SUMIF('pow rez'!E3:E5,"W",'pow rez'!Y3:Y5)</f>
        <v>0</v>
      </c>
      <c r="R31" s="18" t="b">
        <f t="shared" si="0"/>
        <v>1</v>
      </c>
      <c r="S31" s="37" t="b">
        <f t="shared" si="1"/>
        <v>1</v>
      </c>
      <c r="T31" s="19"/>
      <c r="U31" s="19"/>
      <c r="V31" s="20"/>
      <c r="W31" s="20"/>
      <c r="X31" s="20"/>
      <c r="Y31" s="20"/>
      <c r="Z31" s="20"/>
    </row>
    <row r="32" spans="1:26" ht="40.15" customHeight="1" thickTop="1">
      <c r="A32" s="113" t="s">
        <v>3</v>
      </c>
      <c r="B32" s="114">
        <f>COUNTA('gm rez'!L3:L5)</f>
        <v>0</v>
      </c>
      <c r="C32" s="115">
        <f>SUM('gm rez'!K3:K5)</f>
        <v>0</v>
      </c>
      <c r="D32" s="116">
        <f>SUM('gm rez'!M3:M5)</f>
        <v>0</v>
      </c>
      <c r="E32" s="117">
        <f>SUM('gm rez'!L3:L5)</f>
        <v>0</v>
      </c>
      <c r="F32" s="118">
        <f>SUM('gm rez'!O3:O5)</f>
        <v>0</v>
      </c>
      <c r="G32" s="115">
        <f>SUM('gm rez'!P3:P5)</f>
        <v>0</v>
      </c>
      <c r="H32" s="115">
        <f>SUM('gm rez'!Q3:Q5)</f>
        <v>0</v>
      </c>
      <c r="I32" s="115">
        <f>SUM('gm rez'!R3:R5)</f>
        <v>0</v>
      </c>
      <c r="J32" s="115">
        <f>SUM('gm rez'!S3:S5)</f>
        <v>0</v>
      </c>
      <c r="K32" s="115">
        <f>SUM('gm rez'!T3:T5)</f>
        <v>0</v>
      </c>
      <c r="L32" s="115">
        <f>SUM('gm rez'!U3:U5)</f>
        <v>0</v>
      </c>
      <c r="M32" s="115">
        <f>SUM('gm rez'!V3:V5)</f>
        <v>0</v>
      </c>
      <c r="N32" s="115">
        <f>SUM('gm rez'!W3:W5)</f>
        <v>0</v>
      </c>
      <c r="O32" s="115">
        <f>SUM('gm rez'!X3:X5)</f>
        <v>0</v>
      </c>
      <c r="P32" s="115">
        <f>SUM('gm rez'!Y3:Y5)</f>
        <v>0</v>
      </c>
      <c r="Q32" s="119">
        <f>SUM('gm rez'!Z3:Z5)</f>
        <v>0</v>
      </c>
      <c r="R32" s="18" t="b">
        <f t="shared" si="0"/>
        <v>1</v>
      </c>
      <c r="S32" s="37" t="b">
        <f t="shared" si="1"/>
        <v>1</v>
      </c>
      <c r="T32" s="25"/>
      <c r="U32" s="25"/>
      <c r="V32" s="26"/>
      <c r="W32" s="26"/>
      <c r="X32" s="21"/>
      <c r="Y32" s="10"/>
      <c r="Z32" s="10"/>
    </row>
    <row r="33" spans="1:26" ht="40.15" customHeight="1">
      <c r="A33" s="121" t="s">
        <v>36</v>
      </c>
      <c r="B33" s="166">
        <f>COUNTIF('gm rez'!C3:C5,"N")</f>
        <v>0</v>
      </c>
      <c r="C33" s="167">
        <f>SUMIF('gm rez'!C3:C5,"N",'gm rez'!K3:K5)</f>
        <v>0</v>
      </c>
      <c r="D33" s="168">
        <f>SUMIF('gm rez'!C3:C5,"N",'gm rez'!M3:M5)</f>
        <v>0</v>
      </c>
      <c r="E33" s="45">
        <f>SUMIF('gm rez'!C3:C5,"N",'gm rez'!L3:L5)</f>
        <v>0</v>
      </c>
      <c r="F33" s="174">
        <f>SUMIF('gm rez'!C3:C5,"N",'gm rez'!O3:O5)</f>
        <v>0</v>
      </c>
      <c r="G33" s="167">
        <f>SUMIF('gm rez'!C3:C5,"N",'gm rez'!P3:P5)</f>
        <v>0</v>
      </c>
      <c r="H33" s="167">
        <f>SUMIF('gm rez'!C3:C5,"N",'gm rez'!Q3:Q5)</f>
        <v>0</v>
      </c>
      <c r="I33" s="167">
        <f>SUMIF('gm rez'!C3:C5,"N",'gm rez'!R3:R5)</f>
        <v>0</v>
      </c>
      <c r="J33" s="167">
        <f>SUMIF('gm rez'!C3:C5,"N",'gm rez'!S3:S5)</f>
        <v>0</v>
      </c>
      <c r="K33" s="167">
        <f>SUMIF('gm rez'!C3:C5,"N",'gm rez'!T3:T5)</f>
        <v>0</v>
      </c>
      <c r="L33" s="167">
        <f>SUMIF('gm rez'!C3:C5,"N",'gm rez'!U3:U5)</f>
        <v>0</v>
      </c>
      <c r="M33" s="167">
        <f>SUMIF('gm rez'!C3:C5,"N",'gm rez'!V3:V5)</f>
        <v>0</v>
      </c>
      <c r="N33" s="167">
        <f>SUMIF('gm rez'!C3:C5,"N",'gm rez'!W3:W5)</f>
        <v>0</v>
      </c>
      <c r="O33" s="167">
        <f>SUMIF('gm rez'!C3:C5,"N",'gm rez'!X3:X5)</f>
        <v>0</v>
      </c>
      <c r="P33" s="167">
        <f>SUMIF('gm rez'!D3:D5,"N",'gm rez'!Y3:Y5)</f>
        <v>0</v>
      </c>
      <c r="Q33" s="175">
        <f>SUMIF('gm rez'!E3:E5,"N",'gm rez'!Z3:Z5)</f>
        <v>0</v>
      </c>
      <c r="R33" s="18" t="b">
        <f t="shared" si="0"/>
        <v>1</v>
      </c>
      <c r="S33" s="37" t="b">
        <f t="shared" si="1"/>
        <v>1</v>
      </c>
      <c r="T33" s="25"/>
      <c r="U33" s="25"/>
      <c r="V33" s="26"/>
      <c r="W33" s="26"/>
      <c r="X33" s="21"/>
      <c r="Y33" s="10"/>
      <c r="Z33" s="10"/>
    </row>
    <row r="34" spans="1:26" ht="40.15" customHeight="1" thickBot="1">
      <c r="A34" s="122" t="s">
        <v>37</v>
      </c>
      <c r="B34" s="169">
        <f>COUNTIF('gm rez'!C3:C5,"W")</f>
        <v>0</v>
      </c>
      <c r="C34" s="170">
        <f>SUMIF('gm rez'!C3:C5,"W",'gm rez'!K3:K5)</f>
        <v>0</v>
      </c>
      <c r="D34" s="171">
        <f>SUMIF('gm rez'!C3:C5,"W",'gm rez'!M3:M5)</f>
        <v>0</v>
      </c>
      <c r="E34" s="123">
        <f>SUMIF('gm rez'!C3:C5,"W",'gm rez'!L3:L5)</f>
        <v>0</v>
      </c>
      <c r="F34" s="176">
        <f>SUMIF('gm rez'!C3:C5,"W",'gm rez'!O3:O5)</f>
        <v>0</v>
      </c>
      <c r="G34" s="170">
        <f>SUMIF('gm rez'!C3:C5,"W",'gm rez'!P3:P5)</f>
        <v>0</v>
      </c>
      <c r="H34" s="170">
        <f>SUMIF('gm rez'!C3:C5,"W",'gm rez'!Q3:Q5)</f>
        <v>0</v>
      </c>
      <c r="I34" s="170">
        <f>SUMIF('gm rez'!C3:C5,"W",'gm rez'!R3:R5)</f>
        <v>0</v>
      </c>
      <c r="J34" s="170">
        <f>SUMIF('gm rez'!C3:C5,"W",'gm rez'!S3:S5)</f>
        <v>0</v>
      </c>
      <c r="K34" s="170">
        <f>SUMIF('gm rez'!C3:C5,"W",'gm rez'!T3:T5)</f>
        <v>0</v>
      </c>
      <c r="L34" s="170">
        <f>SUMIF('gm rez'!C3:C5,"W",'gm rez'!U3:U5)</f>
        <v>0</v>
      </c>
      <c r="M34" s="170">
        <f>SUMIF('gm rez'!C3:C5,"W",'gm rez'!V3:V5)</f>
        <v>0</v>
      </c>
      <c r="N34" s="170">
        <f>SUMIF('gm rez'!C3:C5,"W",'gm rez'!W3:W5)</f>
        <v>0</v>
      </c>
      <c r="O34" s="170">
        <f>SUMIF('gm rez'!C3:C5,"W",'gm rez'!X3:X5)</f>
        <v>0</v>
      </c>
      <c r="P34" s="170">
        <f>SUMIF('gm rez'!D3:D5,"W",'gm rez'!Y3:Y5)</f>
        <v>0</v>
      </c>
      <c r="Q34" s="177">
        <f>SUMIF('gm rez'!E3:E5,"W",'gm rez'!Z3:Z5)</f>
        <v>0</v>
      </c>
      <c r="R34" s="18" t="b">
        <f t="shared" si="0"/>
        <v>1</v>
      </c>
      <c r="S34" s="37" t="b">
        <f t="shared" si="1"/>
        <v>1</v>
      </c>
      <c r="T34" s="25"/>
      <c r="U34" s="25"/>
      <c r="V34" s="26"/>
      <c r="W34" s="26"/>
      <c r="X34" s="21"/>
      <c r="Y34" s="10"/>
      <c r="Z34" s="10"/>
    </row>
    <row r="35" spans="1:26" ht="40.15" customHeight="1" thickTop="1">
      <c r="A35" s="188" t="s">
        <v>20</v>
      </c>
      <c r="B35" s="189">
        <f>B29+B32</f>
        <v>0</v>
      </c>
      <c r="C35" s="190">
        <f t="shared" ref="C35:O35" si="8">C29+C32</f>
        <v>0</v>
      </c>
      <c r="D35" s="191">
        <f t="shared" si="8"/>
        <v>0</v>
      </c>
      <c r="E35" s="192">
        <f t="shared" si="8"/>
        <v>0</v>
      </c>
      <c r="F35" s="193">
        <f t="shared" si="8"/>
        <v>0</v>
      </c>
      <c r="G35" s="190">
        <f t="shared" si="8"/>
        <v>0</v>
      </c>
      <c r="H35" s="190">
        <f t="shared" si="8"/>
        <v>0</v>
      </c>
      <c r="I35" s="190">
        <f t="shared" si="8"/>
        <v>0</v>
      </c>
      <c r="J35" s="190">
        <f t="shared" si="8"/>
        <v>0</v>
      </c>
      <c r="K35" s="190">
        <f t="shared" si="8"/>
        <v>0</v>
      </c>
      <c r="L35" s="190">
        <f t="shared" si="8"/>
        <v>0</v>
      </c>
      <c r="M35" s="190">
        <f t="shared" si="8"/>
        <v>0</v>
      </c>
      <c r="N35" s="190">
        <f t="shared" si="8"/>
        <v>0</v>
      </c>
      <c r="O35" s="190">
        <f t="shared" si="8"/>
        <v>0</v>
      </c>
      <c r="P35" s="190">
        <f t="shared" ref="P35:Q35" si="9">P29+P32</f>
        <v>0</v>
      </c>
      <c r="Q35" s="194">
        <f t="shared" si="9"/>
        <v>0</v>
      </c>
      <c r="R35" s="18" t="b">
        <f t="shared" si="0"/>
        <v>1</v>
      </c>
      <c r="S35" s="37" t="b">
        <f t="shared" si="1"/>
        <v>1</v>
      </c>
      <c r="T35" s="27"/>
      <c r="U35" s="27"/>
      <c r="V35" s="2"/>
      <c r="W35" s="2"/>
    </row>
    <row r="36" spans="1:26" ht="40.15" customHeight="1">
      <c r="A36" s="99" t="s">
        <v>36</v>
      </c>
      <c r="B36" s="97">
        <f t="shared" ref="B36:O36" si="10">B30+B33</f>
        <v>0</v>
      </c>
      <c r="C36" s="88">
        <f t="shared" si="10"/>
        <v>0</v>
      </c>
      <c r="D36" s="102">
        <f t="shared" si="10"/>
        <v>0</v>
      </c>
      <c r="E36" s="45">
        <f t="shared" si="10"/>
        <v>0</v>
      </c>
      <c r="F36" s="107">
        <f t="shared" si="10"/>
        <v>0</v>
      </c>
      <c r="G36" s="88">
        <f t="shared" si="10"/>
        <v>0</v>
      </c>
      <c r="H36" s="88">
        <f t="shared" si="10"/>
        <v>0</v>
      </c>
      <c r="I36" s="88">
        <f t="shared" si="10"/>
        <v>0</v>
      </c>
      <c r="J36" s="88">
        <f t="shared" si="10"/>
        <v>0</v>
      </c>
      <c r="K36" s="88">
        <f t="shared" si="10"/>
        <v>0</v>
      </c>
      <c r="L36" s="88">
        <f t="shared" si="10"/>
        <v>0</v>
      </c>
      <c r="M36" s="88">
        <f t="shared" si="10"/>
        <v>0</v>
      </c>
      <c r="N36" s="88">
        <f t="shared" si="10"/>
        <v>0</v>
      </c>
      <c r="O36" s="88">
        <f t="shared" si="10"/>
        <v>0</v>
      </c>
      <c r="P36" s="88">
        <f t="shared" ref="P36:Q36" si="11">P30+P33</f>
        <v>0</v>
      </c>
      <c r="Q36" s="94">
        <f t="shared" si="11"/>
        <v>0</v>
      </c>
      <c r="R36" s="18" t="b">
        <f t="shared" si="0"/>
        <v>1</v>
      </c>
      <c r="S36" s="37" t="b">
        <f t="shared" si="1"/>
        <v>1</v>
      </c>
      <c r="T36" s="27"/>
      <c r="U36" s="27"/>
      <c r="V36" s="2"/>
      <c r="W36" s="2"/>
    </row>
    <row r="37" spans="1:26" ht="40.15" customHeight="1" thickBot="1">
      <c r="A37" s="141" t="s">
        <v>37</v>
      </c>
      <c r="B37" s="142">
        <f t="shared" ref="B37:O37" si="12">B31+B34</f>
        <v>0</v>
      </c>
      <c r="C37" s="143">
        <f t="shared" si="12"/>
        <v>0</v>
      </c>
      <c r="D37" s="144">
        <f t="shared" si="12"/>
        <v>0</v>
      </c>
      <c r="E37" s="145">
        <f t="shared" si="12"/>
        <v>0</v>
      </c>
      <c r="F37" s="146">
        <f t="shared" si="12"/>
        <v>0</v>
      </c>
      <c r="G37" s="143">
        <f t="shared" si="12"/>
        <v>0</v>
      </c>
      <c r="H37" s="143">
        <f t="shared" si="12"/>
        <v>0</v>
      </c>
      <c r="I37" s="143">
        <f t="shared" si="12"/>
        <v>0</v>
      </c>
      <c r="J37" s="143">
        <f t="shared" si="12"/>
        <v>0</v>
      </c>
      <c r="K37" s="143">
        <f t="shared" si="12"/>
        <v>0</v>
      </c>
      <c r="L37" s="143">
        <f t="shared" si="12"/>
        <v>0</v>
      </c>
      <c r="M37" s="143">
        <f t="shared" si="12"/>
        <v>0</v>
      </c>
      <c r="N37" s="143">
        <f t="shared" si="12"/>
        <v>0</v>
      </c>
      <c r="O37" s="143">
        <f t="shared" si="12"/>
        <v>0</v>
      </c>
      <c r="P37" s="143">
        <f t="shared" ref="P37:Q37" si="13">P31+P34</f>
        <v>0</v>
      </c>
      <c r="Q37" s="147">
        <f t="shared" si="13"/>
        <v>0</v>
      </c>
      <c r="R37" s="18" t="b">
        <f t="shared" si="0"/>
        <v>1</v>
      </c>
      <c r="S37" s="37" t="b">
        <f t="shared" si="1"/>
        <v>1</v>
      </c>
      <c r="T37" s="27"/>
      <c r="U37" s="27"/>
      <c r="V37" s="2"/>
      <c r="W37" s="2"/>
    </row>
    <row r="38" spans="1:26" ht="40.15" customHeight="1" thickTop="1">
      <c r="A38" s="148" t="s">
        <v>31</v>
      </c>
      <c r="B38" s="149">
        <f>B25+B35</f>
        <v>135</v>
      </c>
      <c r="C38" s="150">
        <f t="shared" ref="C38:O38" si="14">C25+C35</f>
        <v>782405999.18999982</v>
      </c>
      <c r="D38" s="151">
        <f t="shared" si="14"/>
        <v>391613387.25</v>
      </c>
      <c r="E38" s="152">
        <f t="shared" si="14"/>
        <v>390792611.93999994</v>
      </c>
      <c r="F38" s="153">
        <f t="shared" si="14"/>
        <v>0</v>
      </c>
      <c r="G38" s="150">
        <f t="shared" si="14"/>
        <v>0</v>
      </c>
      <c r="H38" s="150">
        <f t="shared" si="14"/>
        <v>4414130</v>
      </c>
      <c r="I38" s="150">
        <f t="shared" si="14"/>
        <v>13354367.550000001</v>
      </c>
      <c r="J38" s="150">
        <f t="shared" si="14"/>
        <v>46824549.75</v>
      </c>
      <c r="K38" s="150">
        <f t="shared" si="14"/>
        <v>219276356.26999998</v>
      </c>
      <c r="L38" s="150">
        <f t="shared" si="14"/>
        <v>56480998.799999997</v>
      </c>
      <c r="M38" s="150">
        <f t="shared" si="14"/>
        <v>45887239.569999993</v>
      </c>
      <c r="N38" s="150">
        <f t="shared" si="14"/>
        <v>4554970</v>
      </c>
      <c r="O38" s="150">
        <f t="shared" si="14"/>
        <v>0</v>
      </c>
      <c r="P38" s="150">
        <f t="shared" ref="P38:Q38" si="15">P25+P35</f>
        <v>0</v>
      </c>
      <c r="Q38" s="154">
        <f t="shared" si="15"/>
        <v>0</v>
      </c>
      <c r="R38" s="18" t="b">
        <f t="shared" si="0"/>
        <v>1</v>
      </c>
      <c r="S38" s="37" t="b">
        <f t="shared" si="1"/>
        <v>1</v>
      </c>
      <c r="T38" s="27"/>
      <c r="U38" s="27"/>
      <c r="V38" s="2"/>
      <c r="W38" s="2"/>
    </row>
    <row r="39" spans="1:26" ht="40.15" customHeight="1">
      <c r="A39" s="181" t="s">
        <v>35</v>
      </c>
      <c r="B39" s="182">
        <f>B26</f>
        <v>32</v>
      </c>
      <c r="C39" s="183">
        <f t="shared" ref="C39:O39" si="16">C26</f>
        <v>288175984</v>
      </c>
      <c r="D39" s="184">
        <f t="shared" si="16"/>
        <v>148825620.48999998</v>
      </c>
      <c r="E39" s="46">
        <f t="shared" si="16"/>
        <v>139350363.50999999</v>
      </c>
      <c r="F39" s="185">
        <f t="shared" si="16"/>
        <v>0</v>
      </c>
      <c r="G39" s="183">
        <f t="shared" si="16"/>
        <v>0</v>
      </c>
      <c r="H39" s="183">
        <f t="shared" si="16"/>
        <v>4414130</v>
      </c>
      <c r="I39" s="183">
        <f t="shared" si="16"/>
        <v>13354367.550000001</v>
      </c>
      <c r="J39" s="183">
        <f t="shared" si="16"/>
        <v>46824549.75</v>
      </c>
      <c r="K39" s="183">
        <f t="shared" si="16"/>
        <v>59407710.869999997</v>
      </c>
      <c r="L39" s="183">
        <f t="shared" si="16"/>
        <v>12365918.359999999</v>
      </c>
      <c r="M39" s="183">
        <f t="shared" si="16"/>
        <v>2983686.98</v>
      </c>
      <c r="N39" s="183">
        <f t="shared" si="16"/>
        <v>0</v>
      </c>
      <c r="O39" s="183">
        <f t="shared" si="16"/>
        <v>0</v>
      </c>
      <c r="P39" s="183">
        <f t="shared" ref="P39:Q39" si="17">P26</f>
        <v>0</v>
      </c>
      <c r="Q39" s="186">
        <f t="shared" si="17"/>
        <v>0</v>
      </c>
      <c r="R39" s="18" t="b">
        <f t="shared" si="0"/>
        <v>1</v>
      </c>
      <c r="S39" s="37" t="b">
        <f t="shared" si="1"/>
        <v>1</v>
      </c>
      <c r="T39" s="27"/>
      <c r="U39" s="27"/>
      <c r="V39" s="2"/>
      <c r="W39" s="2"/>
    </row>
    <row r="40" spans="1:26" ht="40.15" customHeight="1">
      <c r="A40" s="155" t="s">
        <v>36</v>
      </c>
      <c r="B40" s="98">
        <f>B27+B36</f>
        <v>70</v>
      </c>
      <c r="C40" s="89">
        <f t="shared" ref="C40:O40" si="18">C27+C36</f>
        <v>174030233.15000001</v>
      </c>
      <c r="D40" s="103">
        <f t="shared" si="18"/>
        <v>71918038.879999995</v>
      </c>
      <c r="E40" s="109">
        <f t="shared" si="18"/>
        <v>102112194.27000004</v>
      </c>
      <c r="F40" s="108">
        <f t="shared" si="18"/>
        <v>0</v>
      </c>
      <c r="G40" s="89">
        <f t="shared" si="18"/>
        <v>0</v>
      </c>
      <c r="H40" s="89">
        <f t="shared" si="18"/>
        <v>0</v>
      </c>
      <c r="I40" s="89">
        <f t="shared" si="18"/>
        <v>0</v>
      </c>
      <c r="J40" s="89">
        <f t="shared" si="18"/>
        <v>0</v>
      </c>
      <c r="K40" s="89">
        <f t="shared" si="18"/>
        <v>102112194.27000004</v>
      </c>
      <c r="L40" s="89">
        <f t="shared" si="18"/>
        <v>0</v>
      </c>
      <c r="M40" s="89">
        <f t="shared" si="18"/>
        <v>0</v>
      </c>
      <c r="N40" s="89">
        <f t="shared" si="18"/>
        <v>0</v>
      </c>
      <c r="O40" s="89">
        <f t="shared" si="18"/>
        <v>0</v>
      </c>
      <c r="P40" s="89">
        <f t="shared" ref="P40:Q40" si="19">P27+P36</f>
        <v>0</v>
      </c>
      <c r="Q40" s="156">
        <f t="shared" si="19"/>
        <v>0</v>
      </c>
      <c r="R40" s="18" t="b">
        <f t="shared" si="0"/>
        <v>1</v>
      </c>
      <c r="S40" s="37" t="b">
        <f t="shared" si="1"/>
        <v>1</v>
      </c>
      <c r="T40" s="27"/>
      <c r="U40" s="27"/>
      <c r="V40" s="2"/>
      <c r="W40" s="2"/>
    </row>
    <row r="41" spans="1:26" ht="40.15" customHeight="1" thickBot="1">
      <c r="A41" s="157" t="s">
        <v>37</v>
      </c>
      <c r="B41" s="158">
        <f>B28+B37</f>
        <v>33</v>
      </c>
      <c r="C41" s="159">
        <f t="shared" ref="C41:O41" si="20">C28+C37</f>
        <v>320199782.03999996</v>
      </c>
      <c r="D41" s="160">
        <f t="shared" si="20"/>
        <v>170869727.88</v>
      </c>
      <c r="E41" s="123">
        <f t="shared" si="20"/>
        <v>149330054.15999997</v>
      </c>
      <c r="F41" s="161">
        <f t="shared" si="20"/>
        <v>0</v>
      </c>
      <c r="G41" s="159">
        <f t="shared" si="20"/>
        <v>0</v>
      </c>
      <c r="H41" s="159">
        <f t="shared" si="20"/>
        <v>0</v>
      </c>
      <c r="I41" s="159">
        <f t="shared" si="20"/>
        <v>0</v>
      </c>
      <c r="J41" s="159">
        <f t="shared" si="20"/>
        <v>0</v>
      </c>
      <c r="K41" s="159">
        <f t="shared" si="20"/>
        <v>57756451.130000003</v>
      </c>
      <c r="L41" s="159">
        <f t="shared" si="20"/>
        <v>44115080.439999998</v>
      </c>
      <c r="M41" s="159">
        <f t="shared" si="20"/>
        <v>42903552.589999989</v>
      </c>
      <c r="N41" s="159">
        <f t="shared" si="20"/>
        <v>4554970</v>
      </c>
      <c r="O41" s="159">
        <f t="shared" si="20"/>
        <v>0</v>
      </c>
      <c r="P41" s="159">
        <f t="shared" ref="P41:Q41" si="21">P28+P37</f>
        <v>0</v>
      </c>
      <c r="Q41" s="162">
        <f t="shared" si="21"/>
        <v>0</v>
      </c>
      <c r="R41" s="18" t="b">
        <f t="shared" si="0"/>
        <v>1</v>
      </c>
      <c r="S41" s="37" t="b">
        <f t="shared" si="1"/>
        <v>1</v>
      </c>
      <c r="T41" s="27"/>
      <c r="U41" s="27"/>
      <c r="V41" s="2"/>
      <c r="W41" s="2"/>
    </row>
    <row r="42" spans="1:26" ht="15.75" thickTop="1">
      <c r="A42" s="28"/>
      <c r="B42" s="28" t="b">
        <f>B17+B21=B25</f>
        <v>1</v>
      </c>
      <c r="C42" s="28" t="b">
        <f t="shared" ref="C42:Q42" si="22">C17+C21=C25</f>
        <v>1</v>
      </c>
      <c r="D42" s="28" t="b">
        <f t="shared" si="22"/>
        <v>1</v>
      </c>
      <c r="E42" s="28" t="b">
        <f t="shared" si="22"/>
        <v>1</v>
      </c>
      <c r="F42" s="28" t="b">
        <f t="shared" si="22"/>
        <v>1</v>
      </c>
      <c r="G42" s="28" t="b">
        <f t="shared" si="22"/>
        <v>1</v>
      </c>
      <c r="H42" s="28" t="b">
        <f t="shared" si="22"/>
        <v>1</v>
      </c>
      <c r="I42" s="28" t="b">
        <f t="shared" si="22"/>
        <v>1</v>
      </c>
      <c r="J42" s="28" t="b">
        <f t="shared" si="22"/>
        <v>1</v>
      </c>
      <c r="K42" s="28" t="b">
        <f t="shared" si="22"/>
        <v>1</v>
      </c>
      <c r="L42" s="28" t="b">
        <f t="shared" si="22"/>
        <v>1</v>
      </c>
      <c r="M42" s="28" t="b">
        <f t="shared" si="22"/>
        <v>1</v>
      </c>
      <c r="N42" s="28" t="b">
        <f t="shared" si="22"/>
        <v>1</v>
      </c>
      <c r="O42" s="28" t="b">
        <f t="shared" si="22"/>
        <v>1</v>
      </c>
      <c r="P42" s="28" t="b">
        <f t="shared" si="22"/>
        <v>1</v>
      </c>
      <c r="Q42" s="28" t="b">
        <f t="shared" si="22"/>
        <v>1</v>
      </c>
      <c r="R42" s="28"/>
      <c r="S42" s="28"/>
      <c r="T42" s="27"/>
      <c r="U42" s="27"/>
      <c r="V42" s="2"/>
      <c r="W42" s="2"/>
    </row>
    <row r="43" spans="1:26">
      <c r="A43" s="28"/>
      <c r="B43" s="28" t="b">
        <f>B18+B22=B26</f>
        <v>1</v>
      </c>
      <c r="C43" s="28" t="b">
        <f t="shared" ref="C43:Q43" si="23">C18+C22=C26</f>
        <v>1</v>
      </c>
      <c r="D43" s="28" t="b">
        <f t="shared" si="23"/>
        <v>1</v>
      </c>
      <c r="E43" s="28" t="b">
        <f t="shared" si="23"/>
        <v>1</v>
      </c>
      <c r="F43" s="28" t="b">
        <f t="shared" si="23"/>
        <v>1</v>
      </c>
      <c r="G43" s="28" t="b">
        <f t="shared" si="23"/>
        <v>1</v>
      </c>
      <c r="H43" s="28" t="b">
        <f t="shared" si="23"/>
        <v>1</v>
      </c>
      <c r="I43" s="28" t="b">
        <f t="shared" si="23"/>
        <v>1</v>
      </c>
      <c r="J43" s="28" t="b">
        <f t="shared" si="23"/>
        <v>1</v>
      </c>
      <c r="K43" s="28" t="b">
        <f t="shared" si="23"/>
        <v>1</v>
      </c>
      <c r="L43" s="28" t="b">
        <f t="shared" si="23"/>
        <v>1</v>
      </c>
      <c r="M43" s="28" t="b">
        <f t="shared" si="23"/>
        <v>1</v>
      </c>
      <c r="N43" s="28" t="b">
        <f t="shared" si="23"/>
        <v>1</v>
      </c>
      <c r="O43" s="28" t="b">
        <f t="shared" si="23"/>
        <v>1</v>
      </c>
      <c r="P43" s="28" t="b">
        <f t="shared" si="23"/>
        <v>1</v>
      </c>
      <c r="Q43" s="28" t="b">
        <f t="shared" si="23"/>
        <v>1</v>
      </c>
      <c r="R43" s="28"/>
      <c r="S43" s="28"/>
      <c r="T43" s="27"/>
      <c r="U43" s="27"/>
      <c r="V43" s="2"/>
      <c r="W43" s="2"/>
    </row>
    <row r="44" spans="1:26">
      <c r="A44" s="28"/>
      <c r="B44" s="28" t="b">
        <f>B19+B23=B27</f>
        <v>1</v>
      </c>
      <c r="C44" s="28" t="b">
        <f t="shared" ref="C44:Q44" si="24">C19+C23=C27</f>
        <v>1</v>
      </c>
      <c r="D44" s="28" t="b">
        <f t="shared" si="24"/>
        <v>1</v>
      </c>
      <c r="E44" s="28" t="b">
        <f t="shared" si="24"/>
        <v>1</v>
      </c>
      <c r="F44" s="28" t="b">
        <f t="shared" si="24"/>
        <v>1</v>
      </c>
      <c r="G44" s="28" t="b">
        <f t="shared" si="24"/>
        <v>1</v>
      </c>
      <c r="H44" s="28" t="b">
        <f t="shared" si="24"/>
        <v>1</v>
      </c>
      <c r="I44" s="28" t="b">
        <f t="shared" si="24"/>
        <v>1</v>
      </c>
      <c r="J44" s="28" t="b">
        <f t="shared" si="24"/>
        <v>1</v>
      </c>
      <c r="K44" s="28" t="b">
        <f t="shared" si="24"/>
        <v>1</v>
      </c>
      <c r="L44" s="28" t="b">
        <f t="shared" si="24"/>
        <v>1</v>
      </c>
      <c r="M44" s="28" t="b">
        <f t="shared" si="24"/>
        <v>1</v>
      </c>
      <c r="N44" s="28" t="b">
        <f t="shared" si="24"/>
        <v>1</v>
      </c>
      <c r="O44" s="28" t="b">
        <f t="shared" si="24"/>
        <v>1</v>
      </c>
      <c r="P44" s="28" t="b">
        <f t="shared" si="24"/>
        <v>1</v>
      </c>
      <c r="Q44" s="28" t="b">
        <f t="shared" si="24"/>
        <v>1</v>
      </c>
      <c r="R44" s="28"/>
      <c r="S44" s="28"/>
      <c r="T44" s="27"/>
      <c r="U44" s="27"/>
      <c r="V44" s="2"/>
      <c r="W44" s="2"/>
    </row>
    <row r="45" spans="1:26">
      <c r="A45" s="28"/>
      <c r="B45" s="28" t="b">
        <f>B20+B24=B28</f>
        <v>1</v>
      </c>
      <c r="C45" s="28" t="b">
        <f t="shared" ref="C45:Q45" si="25">C20+C24=C28</f>
        <v>1</v>
      </c>
      <c r="D45" s="28" t="b">
        <f t="shared" si="25"/>
        <v>1</v>
      </c>
      <c r="E45" s="28" t="b">
        <f t="shared" si="25"/>
        <v>1</v>
      </c>
      <c r="F45" s="28" t="b">
        <f t="shared" si="25"/>
        <v>1</v>
      </c>
      <c r="G45" s="28" t="b">
        <f t="shared" si="25"/>
        <v>1</v>
      </c>
      <c r="H45" s="28" t="b">
        <f t="shared" si="25"/>
        <v>1</v>
      </c>
      <c r="I45" s="28" t="b">
        <f t="shared" si="25"/>
        <v>1</v>
      </c>
      <c r="J45" s="28" t="b">
        <f t="shared" si="25"/>
        <v>1</v>
      </c>
      <c r="K45" s="28" t="b">
        <f t="shared" si="25"/>
        <v>1</v>
      </c>
      <c r="L45" s="28" t="b">
        <f t="shared" si="25"/>
        <v>1</v>
      </c>
      <c r="M45" s="28" t="b">
        <f t="shared" si="25"/>
        <v>1</v>
      </c>
      <c r="N45" s="28" t="b">
        <f t="shared" si="25"/>
        <v>1</v>
      </c>
      <c r="O45" s="28" t="b">
        <f t="shared" si="25"/>
        <v>1</v>
      </c>
      <c r="P45" s="28" t="b">
        <f t="shared" si="25"/>
        <v>1</v>
      </c>
      <c r="Q45" s="28" t="b">
        <f t="shared" si="25"/>
        <v>1</v>
      </c>
      <c r="R45" s="28"/>
      <c r="S45" s="28"/>
      <c r="T45" s="27"/>
      <c r="U45" s="27"/>
      <c r="V45" s="2"/>
      <c r="W45" s="2"/>
    </row>
    <row r="46" spans="1:26">
      <c r="A46" s="29"/>
      <c r="B46" s="29" t="b">
        <f>B29+B32=B35</f>
        <v>1</v>
      </c>
      <c r="C46" s="29" t="b">
        <f t="shared" ref="C46:Q46" si="26">C29+C32=C35</f>
        <v>1</v>
      </c>
      <c r="D46" s="29" t="b">
        <f t="shared" si="26"/>
        <v>1</v>
      </c>
      <c r="E46" s="29" t="b">
        <f t="shared" si="26"/>
        <v>1</v>
      </c>
      <c r="F46" s="29" t="b">
        <f t="shared" si="26"/>
        <v>1</v>
      </c>
      <c r="G46" s="29" t="b">
        <f t="shared" si="26"/>
        <v>1</v>
      </c>
      <c r="H46" s="29" t="b">
        <f t="shared" si="26"/>
        <v>1</v>
      </c>
      <c r="I46" s="29" t="b">
        <f t="shared" si="26"/>
        <v>1</v>
      </c>
      <c r="J46" s="29" t="b">
        <f t="shared" si="26"/>
        <v>1</v>
      </c>
      <c r="K46" s="29" t="b">
        <f t="shared" si="26"/>
        <v>1</v>
      </c>
      <c r="L46" s="29" t="b">
        <f t="shared" si="26"/>
        <v>1</v>
      </c>
      <c r="M46" s="29" t="b">
        <f t="shared" si="26"/>
        <v>1</v>
      </c>
      <c r="N46" s="29" t="b">
        <f t="shared" si="26"/>
        <v>1</v>
      </c>
      <c r="O46" s="29" t="b">
        <f t="shared" si="26"/>
        <v>1</v>
      </c>
      <c r="P46" s="29" t="b">
        <f t="shared" si="26"/>
        <v>1</v>
      </c>
      <c r="Q46" s="29" t="b">
        <f t="shared" si="26"/>
        <v>1</v>
      </c>
      <c r="R46" s="29"/>
      <c r="S46" s="29"/>
      <c r="T46" s="2"/>
      <c r="U46" s="2"/>
      <c r="V46" s="2"/>
      <c r="W46" s="2"/>
    </row>
    <row r="47" spans="1:26">
      <c r="A47" s="29"/>
      <c r="B47" s="29" t="b">
        <f>B33+B30=B36</f>
        <v>1</v>
      </c>
      <c r="C47" s="29" t="b">
        <f t="shared" ref="C47:Q47" si="27">C33+C30=C36</f>
        <v>1</v>
      </c>
      <c r="D47" s="29" t="b">
        <f t="shared" si="27"/>
        <v>1</v>
      </c>
      <c r="E47" s="29" t="b">
        <f t="shared" si="27"/>
        <v>1</v>
      </c>
      <c r="F47" s="29" t="b">
        <f t="shared" si="27"/>
        <v>1</v>
      </c>
      <c r="G47" s="29" t="b">
        <f t="shared" si="27"/>
        <v>1</v>
      </c>
      <c r="H47" s="29" t="b">
        <f t="shared" si="27"/>
        <v>1</v>
      </c>
      <c r="I47" s="29" t="b">
        <f t="shared" si="27"/>
        <v>1</v>
      </c>
      <c r="J47" s="29" t="b">
        <f t="shared" si="27"/>
        <v>1</v>
      </c>
      <c r="K47" s="29" t="b">
        <f t="shared" si="27"/>
        <v>1</v>
      </c>
      <c r="L47" s="29" t="b">
        <f>L33+L30=L36</f>
        <v>1</v>
      </c>
      <c r="M47" s="29" t="b">
        <f t="shared" si="27"/>
        <v>1</v>
      </c>
      <c r="N47" s="29" t="b">
        <f t="shared" si="27"/>
        <v>1</v>
      </c>
      <c r="O47" s="29" t="b">
        <f t="shared" si="27"/>
        <v>1</v>
      </c>
      <c r="P47" s="29" t="b">
        <f t="shared" si="27"/>
        <v>1</v>
      </c>
      <c r="Q47" s="29" t="b">
        <f t="shared" si="27"/>
        <v>1</v>
      </c>
      <c r="R47" s="29"/>
      <c r="S47" s="29"/>
      <c r="T47" s="2"/>
      <c r="U47" s="2"/>
      <c r="V47" s="2"/>
      <c r="W47" s="2"/>
    </row>
    <row r="48" spans="1:26">
      <c r="A48" s="29"/>
      <c r="B48" s="29" t="b">
        <f>B31+B34=B37</f>
        <v>1</v>
      </c>
      <c r="C48" s="29" t="b">
        <f t="shared" ref="C48:Q48" si="28">C31+C34=C37</f>
        <v>1</v>
      </c>
      <c r="D48" s="29" t="b">
        <f t="shared" si="28"/>
        <v>1</v>
      </c>
      <c r="E48" s="29" t="b">
        <f t="shared" si="28"/>
        <v>1</v>
      </c>
      <c r="F48" s="29" t="b">
        <f t="shared" si="28"/>
        <v>1</v>
      </c>
      <c r="G48" s="29" t="b">
        <f t="shared" si="28"/>
        <v>1</v>
      </c>
      <c r="H48" s="29" t="b">
        <f t="shared" si="28"/>
        <v>1</v>
      </c>
      <c r="I48" s="29" t="b">
        <f t="shared" si="28"/>
        <v>1</v>
      </c>
      <c r="J48" s="29" t="b">
        <f t="shared" si="28"/>
        <v>1</v>
      </c>
      <c r="K48" s="29" t="b">
        <f t="shared" si="28"/>
        <v>1</v>
      </c>
      <c r="L48" s="29" t="b">
        <f t="shared" si="28"/>
        <v>1</v>
      </c>
      <c r="M48" s="29" t="b">
        <f t="shared" si="28"/>
        <v>1</v>
      </c>
      <c r="N48" s="29" t="b">
        <f t="shared" si="28"/>
        <v>1</v>
      </c>
      <c r="O48" s="29" t="b">
        <f t="shared" si="28"/>
        <v>1</v>
      </c>
      <c r="P48" s="29" t="b">
        <f t="shared" si="28"/>
        <v>1</v>
      </c>
      <c r="Q48" s="29" t="b">
        <f t="shared" si="28"/>
        <v>1</v>
      </c>
      <c r="R48" s="29"/>
      <c r="S48" s="29"/>
      <c r="T48" s="2"/>
      <c r="U48" s="2"/>
      <c r="V48" s="2"/>
      <c r="W48" s="2"/>
    </row>
    <row r="49" spans="2:17">
      <c r="B49" s="12" t="b">
        <f>B25+B35=B38</f>
        <v>1</v>
      </c>
      <c r="C49" s="12" t="b">
        <f t="shared" ref="C49:Q49" si="29">C25+C35=C38</f>
        <v>1</v>
      </c>
      <c r="D49" s="12" t="b">
        <f t="shared" si="29"/>
        <v>1</v>
      </c>
      <c r="E49" s="12" t="b">
        <f t="shared" si="29"/>
        <v>1</v>
      </c>
      <c r="F49" s="12" t="b">
        <f t="shared" si="29"/>
        <v>1</v>
      </c>
      <c r="G49" s="12" t="b">
        <f t="shared" si="29"/>
        <v>1</v>
      </c>
      <c r="H49" s="12" t="b">
        <f t="shared" si="29"/>
        <v>1</v>
      </c>
      <c r="I49" s="12" t="b">
        <f t="shared" si="29"/>
        <v>1</v>
      </c>
      <c r="J49" s="12" t="b">
        <f t="shared" si="29"/>
        <v>1</v>
      </c>
      <c r="K49" s="12" t="b">
        <f t="shared" si="29"/>
        <v>1</v>
      </c>
      <c r="L49" s="12" t="b">
        <f t="shared" si="29"/>
        <v>1</v>
      </c>
      <c r="M49" s="12" t="b">
        <f t="shared" si="29"/>
        <v>1</v>
      </c>
      <c r="N49" s="12" t="b">
        <f t="shared" si="29"/>
        <v>1</v>
      </c>
      <c r="O49" s="12" t="b">
        <f t="shared" si="29"/>
        <v>1</v>
      </c>
      <c r="P49" s="12" t="b">
        <f t="shared" si="29"/>
        <v>1</v>
      </c>
      <c r="Q49" s="12" t="b">
        <f t="shared" si="29"/>
        <v>1</v>
      </c>
    </row>
  </sheetData>
  <mergeCells count="8">
    <mergeCell ref="F2:N6"/>
    <mergeCell ref="F7:N7"/>
    <mergeCell ref="A15:A16"/>
    <mergeCell ref="B15:B16"/>
    <mergeCell ref="C15:C16"/>
    <mergeCell ref="D15:D16"/>
    <mergeCell ref="E15:E16"/>
    <mergeCell ref="D3:E3"/>
  </mergeCells>
  <pageMargins left="0.70866141732283472" right="0.70866141732283472" top="0.74803149606299213" bottom="0.74803149606299213" header="0.31496062992125984" footer="0.31496062992125984"/>
  <pageSetup paperSize="8" scale="63" orientation="landscape" r:id="rId1"/>
  <headerFooter>
    <oddHeader>&amp;LWojewództwo śląskie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50"/>
  <sheetViews>
    <sheetView showGridLines="0" zoomScale="75" zoomScaleNormal="75" zoomScaleSheetLayoutView="78" workbookViewId="0">
      <pane xSplit="4" ySplit="2" topLeftCell="E42" activePane="bottomRight" state="frozen"/>
      <selection pane="topRight" activeCell="E1" sqref="E1"/>
      <selection pane="bottomLeft" activeCell="A3" sqref="A3"/>
      <selection pane="bottomRight" activeCell="S41" sqref="S41"/>
    </sheetView>
  </sheetViews>
  <sheetFormatPr defaultColWidth="9.28515625" defaultRowHeight="15"/>
  <cols>
    <col min="1" max="3" width="15.7109375" style="209" customWidth="1"/>
    <col min="4" max="4" width="19.42578125" style="209" customWidth="1"/>
    <col min="5" max="5" width="15.7109375" style="209" customWidth="1"/>
    <col min="6" max="6" width="52" style="209" customWidth="1"/>
    <col min="7" max="7" width="13.7109375" style="209" customWidth="1"/>
    <col min="8" max="8" width="14.28515625" style="209" customWidth="1"/>
    <col min="9" max="9" width="17" style="209" customWidth="1"/>
    <col min="10" max="10" width="15.7109375" style="209" customWidth="1"/>
    <col min="11" max="11" width="17.42578125" style="209" customWidth="1"/>
    <col min="12" max="12" width="15.7109375" style="209" customWidth="1"/>
    <col min="13" max="13" width="15.7109375" style="210" customWidth="1"/>
    <col min="14" max="25" width="15.7109375" style="209" customWidth="1"/>
    <col min="26" max="26" width="15.7109375" style="197" customWidth="1"/>
    <col min="27" max="28" width="15.7109375" style="196" customWidth="1"/>
    <col min="29" max="29" width="15.7109375" style="197" customWidth="1"/>
    <col min="30" max="16384" width="9.28515625" style="4"/>
  </cols>
  <sheetData>
    <row r="1" spans="1:29" ht="20.100000000000001" customHeight="1">
      <c r="A1" s="337" t="s">
        <v>4</v>
      </c>
      <c r="B1" s="337" t="s">
        <v>5</v>
      </c>
      <c r="C1" s="338" t="s">
        <v>41</v>
      </c>
      <c r="D1" s="329" t="s">
        <v>6</v>
      </c>
      <c r="E1" s="329" t="s">
        <v>30</v>
      </c>
      <c r="F1" s="329" t="s">
        <v>7</v>
      </c>
      <c r="G1" s="337" t="s">
        <v>24</v>
      </c>
      <c r="H1" s="337" t="s">
        <v>8</v>
      </c>
      <c r="I1" s="337" t="s">
        <v>21</v>
      </c>
      <c r="J1" s="337" t="s">
        <v>9</v>
      </c>
      <c r="K1" s="337" t="s">
        <v>16</v>
      </c>
      <c r="L1" s="329" t="s">
        <v>13</v>
      </c>
      <c r="M1" s="337" t="s">
        <v>11</v>
      </c>
      <c r="N1" s="340" t="s">
        <v>12</v>
      </c>
      <c r="O1" s="341"/>
      <c r="P1" s="341"/>
      <c r="Q1" s="341"/>
      <c r="R1" s="341"/>
      <c r="S1" s="341"/>
      <c r="T1" s="341"/>
      <c r="U1" s="341"/>
      <c r="V1" s="341"/>
      <c r="W1" s="341"/>
      <c r="X1" s="341"/>
      <c r="Y1" s="341"/>
      <c r="Z1" s="196"/>
    </row>
    <row r="2" spans="1:29" ht="39.75" customHeight="1">
      <c r="A2" s="337"/>
      <c r="B2" s="337"/>
      <c r="C2" s="339"/>
      <c r="D2" s="330"/>
      <c r="E2" s="330"/>
      <c r="F2" s="330"/>
      <c r="G2" s="337"/>
      <c r="H2" s="337"/>
      <c r="I2" s="337"/>
      <c r="J2" s="337"/>
      <c r="K2" s="337"/>
      <c r="L2" s="330"/>
      <c r="M2" s="337"/>
      <c r="N2" s="284">
        <v>2019</v>
      </c>
      <c r="O2" s="284">
        <v>2020</v>
      </c>
      <c r="P2" s="284">
        <v>2021</v>
      </c>
      <c r="Q2" s="284">
        <v>2022</v>
      </c>
      <c r="R2" s="284">
        <v>2023</v>
      </c>
      <c r="S2" s="284">
        <v>2024</v>
      </c>
      <c r="T2" s="284">
        <v>2025</v>
      </c>
      <c r="U2" s="284">
        <v>2026</v>
      </c>
      <c r="V2" s="284">
        <v>2027</v>
      </c>
      <c r="W2" s="284">
        <v>2028</v>
      </c>
      <c r="X2" s="284">
        <v>2029</v>
      </c>
      <c r="Y2" s="284">
        <v>2030</v>
      </c>
      <c r="Z2" s="196" t="s">
        <v>26</v>
      </c>
      <c r="AA2" s="196" t="s">
        <v>27</v>
      </c>
      <c r="AB2" s="196" t="s">
        <v>28</v>
      </c>
      <c r="AC2" s="38" t="s">
        <v>29</v>
      </c>
    </row>
    <row r="3" spans="1:29" s="201" customFormat="1" ht="84" customHeight="1">
      <c r="A3" s="227">
        <v>1</v>
      </c>
      <c r="B3" s="229" t="s">
        <v>52</v>
      </c>
      <c r="C3" s="239" t="s">
        <v>47</v>
      </c>
      <c r="D3" s="240" t="s">
        <v>53</v>
      </c>
      <c r="E3" s="241">
        <v>2411</v>
      </c>
      <c r="F3" s="242" t="s">
        <v>54</v>
      </c>
      <c r="G3" s="243" t="s">
        <v>48</v>
      </c>
      <c r="H3" s="235">
        <v>7.6</v>
      </c>
      <c r="I3" s="236" t="s">
        <v>55</v>
      </c>
      <c r="J3" s="225">
        <v>19291208.549999997</v>
      </c>
      <c r="K3" s="230">
        <v>9645604.2699999996</v>
      </c>
      <c r="L3" s="228">
        <v>9645604.2799999993</v>
      </c>
      <c r="M3" s="231">
        <v>0.5</v>
      </c>
      <c r="N3" s="230"/>
      <c r="O3" s="230"/>
      <c r="P3" s="227"/>
      <c r="Q3" s="228">
        <v>3500000</v>
      </c>
      <c r="R3" s="228">
        <v>5000000</v>
      </c>
      <c r="S3" s="228">
        <v>1145604.27</v>
      </c>
      <c r="T3" s="228"/>
      <c r="U3" s="228"/>
      <c r="V3" s="228"/>
      <c r="W3" s="228"/>
      <c r="X3" s="227"/>
      <c r="Y3" s="227"/>
      <c r="Z3" s="198" t="b">
        <f t="shared" ref="Z3:Z12" si="0">K3=SUM(N3:Y3)</f>
        <v>1</v>
      </c>
      <c r="AA3" s="199">
        <f t="shared" ref="AA3:AA12" si="1">ROUND(K3/J3,4)</f>
        <v>0.5</v>
      </c>
      <c r="AB3" s="200" t="b">
        <f t="shared" ref="AB3:AB12" si="2">AA3=M3</f>
        <v>1</v>
      </c>
      <c r="AC3" s="200" t="b">
        <f t="shared" ref="AC3:AC12" si="3">J3=K3+L3</f>
        <v>1</v>
      </c>
    </row>
    <row r="4" spans="1:29" s="201" customFormat="1" ht="30" customHeight="1">
      <c r="A4" s="227">
        <v>2</v>
      </c>
      <c r="B4" s="229" t="s">
        <v>56</v>
      </c>
      <c r="C4" s="239" t="s">
        <v>47</v>
      </c>
      <c r="D4" s="240" t="s">
        <v>57</v>
      </c>
      <c r="E4" s="241">
        <v>2470011</v>
      </c>
      <c r="F4" s="242" t="s">
        <v>58</v>
      </c>
      <c r="G4" s="243" t="s">
        <v>59</v>
      </c>
      <c r="H4" s="235">
        <v>1.577</v>
      </c>
      <c r="I4" s="236" t="s">
        <v>60</v>
      </c>
      <c r="J4" s="225">
        <v>12933257.93</v>
      </c>
      <c r="K4" s="230">
        <v>9053280.0500000007</v>
      </c>
      <c r="L4" s="228">
        <v>3879977.879999999</v>
      </c>
      <c r="M4" s="231">
        <v>0.7</v>
      </c>
      <c r="N4" s="230"/>
      <c r="O4" s="230"/>
      <c r="P4" s="227"/>
      <c r="Q4" s="228">
        <v>5185060.55</v>
      </c>
      <c r="R4" s="228">
        <v>3868219.5</v>
      </c>
      <c r="S4" s="228"/>
      <c r="T4" s="228"/>
      <c r="U4" s="228"/>
      <c r="V4" s="228"/>
      <c r="W4" s="228"/>
      <c r="X4" s="227"/>
      <c r="Y4" s="227"/>
      <c r="Z4" s="198" t="b">
        <f t="shared" si="0"/>
        <v>1</v>
      </c>
      <c r="AA4" s="199">
        <f t="shared" si="1"/>
        <v>0.7</v>
      </c>
      <c r="AB4" s="200" t="b">
        <f t="shared" si="2"/>
        <v>1</v>
      </c>
      <c r="AC4" s="200" t="b">
        <f t="shared" si="3"/>
        <v>1</v>
      </c>
    </row>
    <row r="5" spans="1:29" s="201" customFormat="1" ht="34.5" customHeight="1">
      <c r="A5" s="227">
        <v>3</v>
      </c>
      <c r="B5" s="229" t="s">
        <v>64</v>
      </c>
      <c r="C5" s="239" t="s">
        <v>47</v>
      </c>
      <c r="D5" s="240" t="s">
        <v>65</v>
      </c>
      <c r="E5" s="241">
        <v>2404</v>
      </c>
      <c r="F5" s="242" t="s">
        <v>66</v>
      </c>
      <c r="G5" s="243" t="s">
        <v>48</v>
      </c>
      <c r="H5" s="235">
        <v>2.2400000000000002</v>
      </c>
      <c r="I5" s="236" t="s">
        <v>67</v>
      </c>
      <c r="J5" s="225">
        <v>9101000</v>
      </c>
      <c r="K5" s="230">
        <v>3750000</v>
      </c>
      <c r="L5" s="228">
        <v>5351000</v>
      </c>
      <c r="M5" s="231">
        <v>0.5</v>
      </c>
      <c r="N5" s="230"/>
      <c r="O5" s="230"/>
      <c r="P5" s="227"/>
      <c r="Q5" s="228">
        <v>150000</v>
      </c>
      <c r="R5" s="228">
        <v>1800000</v>
      </c>
      <c r="S5" s="228">
        <v>1800000</v>
      </c>
      <c r="T5" s="228"/>
      <c r="U5" s="228"/>
      <c r="V5" s="228"/>
      <c r="W5" s="228"/>
      <c r="X5" s="227"/>
      <c r="Y5" s="227"/>
      <c r="Z5" s="198" t="b">
        <f t="shared" si="0"/>
        <v>1</v>
      </c>
      <c r="AA5" s="199">
        <f t="shared" si="1"/>
        <v>0.41199999999999998</v>
      </c>
      <c r="AB5" s="200" t="b">
        <f t="shared" si="2"/>
        <v>0</v>
      </c>
      <c r="AC5" s="200" t="b">
        <f t="shared" si="3"/>
        <v>1</v>
      </c>
    </row>
    <row r="6" spans="1:29" s="201" customFormat="1" ht="48" customHeight="1">
      <c r="A6" s="227">
        <v>4</v>
      </c>
      <c r="B6" s="229" t="s">
        <v>69</v>
      </c>
      <c r="C6" s="239" t="s">
        <v>47</v>
      </c>
      <c r="D6" s="240" t="s">
        <v>71</v>
      </c>
      <c r="E6" s="241" t="s">
        <v>72</v>
      </c>
      <c r="F6" s="242" t="s">
        <v>73</v>
      </c>
      <c r="G6" s="243" t="s">
        <v>48</v>
      </c>
      <c r="H6" s="235">
        <v>1.778</v>
      </c>
      <c r="I6" s="236" t="s">
        <v>74</v>
      </c>
      <c r="J6" s="225">
        <v>17853227.91</v>
      </c>
      <c r="K6" s="230">
        <v>8618946</v>
      </c>
      <c r="L6" s="228">
        <v>9234281.9100000001</v>
      </c>
      <c r="M6" s="231">
        <v>0.5</v>
      </c>
      <c r="N6" s="230"/>
      <c r="O6" s="230"/>
      <c r="P6" s="227"/>
      <c r="Q6" s="228"/>
      <c r="R6" s="228">
        <v>5000000</v>
      </c>
      <c r="S6" s="228">
        <v>3618946</v>
      </c>
      <c r="T6" s="228"/>
      <c r="U6" s="228"/>
      <c r="V6" s="228"/>
      <c r="W6" s="228"/>
      <c r="X6" s="227"/>
      <c r="Y6" s="227"/>
      <c r="Z6" s="198" t="b">
        <f t="shared" si="0"/>
        <v>1</v>
      </c>
      <c r="AA6" s="199">
        <f t="shared" si="1"/>
        <v>0.48280000000000001</v>
      </c>
      <c r="AB6" s="200" t="b">
        <f t="shared" si="2"/>
        <v>0</v>
      </c>
      <c r="AC6" s="200" t="b">
        <f t="shared" si="3"/>
        <v>1</v>
      </c>
    </row>
    <row r="7" spans="1:29" s="201" customFormat="1" ht="30" customHeight="1">
      <c r="A7" s="227">
        <v>5</v>
      </c>
      <c r="B7" s="229" t="s">
        <v>75</v>
      </c>
      <c r="C7" s="239" t="s">
        <v>47</v>
      </c>
      <c r="D7" s="240" t="s">
        <v>71</v>
      </c>
      <c r="E7" s="241" t="s">
        <v>72</v>
      </c>
      <c r="F7" s="242" t="s">
        <v>76</v>
      </c>
      <c r="G7" s="243" t="s">
        <v>48</v>
      </c>
      <c r="H7" s="235">
        <v>1.881</v>
      </c>
      <c r="I7" s="236" t="s">
        <v>77</v>
      </c>
      <c r="J7" s="225">
        <v>11804786.129999999</v>
      </c>
      <c r="K7" s="230">
        <v>5443584</v>
      </c>
      <c r="L7" s="228">
        <v>6361202.1299999999</v>
      </c>
      <c r="M7" s="231">
        <v>0.5</v>
      </c>
      <c r="N7" s="230"/>
      <c r="O7" s="230"/>
      <c r="P7" s="227"/>
      <c r="Q7" s="228"/>
      <c r="R7" s="228">
        <v>2943584</v>
      </c>
      <c r="S7" s="228">
        <v>2500000</v>
      </c>
      <c r="T7" s="228"/>
      <c r="U7" s="228"/>
      <c r="V7" s="228"/>
      <c r="W7" s="228"/>
      <c r="X7" s="227"/>
      <c r="Y7" s="227"/>
      <c r="Z7" s="198" t="b">
        <f t="shared" si="0"/>
        <v>1</v>
      </c>
      <c r="AA7" s="199">
        <f t="shared" si="1"/>
        <v>0.46110000000000001</v>
      </c>
      <c r="AB7" s="200" t="b">
        <f t="shared" si="2"/>
        <v>0</v>
      </c>
      <c r="AC7" s="200" t="b">
        <f t="shared" si="3"/>
        <v>1</v>
      </c>
    </row>
    <row r="8" spans="1:29" s="201" customFormat="1" ht="45.75" customHeight="1">
      <c r="A8" s="227">
        <v>6</v>
      </c>
      <c r="B8" s="229" t="s">
        <v>78</v>
      </c>
      <c r="C8" s="239" t="s">
        <v>47</v>
      </c>
      <c r="D8" s="240" t="s">
        <v>79</v>
      </c>
      <c r="E8" s="241" t="s">
        <v>80</v>
      </c>
      <c r="F8" s="242" t="s">
        <v>81</v>
      </c>
      <c r="G8" s="243" t="s">
        <v>48</v>
      </c>
      <c r="H8" s="235">
        <v>1.7330000000000001</v>
      </c>
      <c r="I8" s="236" t="s">
        <v>82</v>
      </c>
      <c r="J8" s="225">
        <v>19387884.960000001</v>
      </c>
      <c r="K8" s="230">
        <v>9693942.4800000004</v>
      </c>
      <c r="L8" s="228">
        <v>9693942.4800000004</v>
      </c>
      <c r="M8" s="231">
        <v>0.5</v>
      </c>
      <c r="N8" s="230"/>
      <c r="O8" s="230"/>
      <c r="P8" s="227"/>
      <c r="Q8" s="228"/>
      <c r="R8" s="228">
        <v>5816365.4900000002</v>
      </c>
      <c r="S8" s="228">
        <v>3877576.99</v>
      </c>
      <c r="T8" s="228"/>
      <c r="U8" s="228"/>
      <c r="V8" s="228"/>
      <c r="W8" s="228"/>
      <c r="X8" s="227"/>
      <c r="Y8" s="227"/>
      <c r="Z8" s="198" t="b">
        <f t="shared" si="0"/>
        <v>1</v>
      </c>
      <c r="AA8" s="199">
        <f t="shared" si="1"/>
        <v>0.5</v>
      </c>
      <c r="AB8" s="200" t="b">
        <f t="shared" si="2"/>
        <v>1</v>
      </c>
      <c r="AC8" s="200" t="b">
        <f t="shared" si="3"/>
        <v>1</v>
      </c>
    </row>
    <row r="9" spans="1:29" s="201" customFormat="1" ht="30" customHeight="1">
      <c r="A9" s="227">
        <v>7</v>
      </c>
      <c r="B9" s="229" t="s">
        <v>84</v>
      </c>
      <c r="C9" s="239" t="s">
        <v>47</v>
      </c>
      <c r="D9" s="240" t="s">
        <v>85</v>
      </c>
      <c r="E9" s="241">
        <v>2468011</v>
      </c>
      <c r="F9" s="242" t="s">
        <v>86</v>
      </c>
      <c r="G9" s="243" t="s">
        <v>48</v>
      </c>
      <c r="H9" s="235">
        <v>1.45</v>
      </c>
      <c r="I9" s="285" t="s">
        <v>608</v>
      </c>
      <c r="J9" s="225">
        <f>K9+L9</f>
        <v>25331898</v>
      </c>
      <c r="K9" s="230">
        <v>12561799</v>
      </c>
      <c r="L9" s="228">
        <v>12770099</v>
      </c>
      <c r="M9" s="231">
        <v>0.5</v>
      </c>
      <c r="N9" s="230"/>
      <c r="O9" s="230"/>
      <c r="P9" s="227"/>
      <c r="Q9" s="228"/>
      <c r="R9" s="228">
        <v>840000</v>
      </c>
      <c r="S9" s="228">
        <v>9642955</v>
      </c>
      <c r="T9" s="228">
        <v>2078844</v>
      </c>
      <c r="U9" s="228"/>
      <c r="V9" s="228"/>
      <c r="W9" s="228"/>
      <c r="X9" s="227"/>
      <c r="Y9" s="227"/>
      <c r="Z9" s="198" t="b">
        <f t="shared" si="0"/>
        <v>1</v>
      </c>
      <c r="AA9" s="199">
        <f t="shared" si="1"/>
        <v>0.49590000000000001</v>
      </c>
      <c r="AB9" s="200" t="b">
        <f t="shared" si="2"/>
        <v>0</v>
      </c>
      <c r="AC9" s="200" t="b">
        <f t="shared" si="3"/>
        <v>1</v>
      </c>
    </row>
    <row r="10" spans="1:29" s="201" customFormat="1" ht="30" customHeight="1">
      <c r="A10" s="227">
        <v>8</v>
      </c>
      <c r="B10" s="229" t="s">
        <v>87</v>
      </c>
      <c r="C10" s="239" t="s">
        <v>47</v>
      </c>
      <c r="D10" s="240" t="s">
        <v>88</v>
      </c>
      <c r="E10" s="241" t="s">
        <v>89</v>
      </c>
      <c r="F10" s="242" t="s">
        <v>90</v>
      </c>
      <c r="G10" s="243" t="s">
        <v>48</v>
      </c>
      <c r="H10" s="235">
        <v>2.7650000000000001</v>
      </c>
      <c r="I10" s="236" t="s">
        <v>91</v>
      </c>
      <c r="J10" s="225">
        <v>16402131.65</v>
      </c>
      <c r="K10" s="230">
        <f>R10+S10+T10</f>
        <v>8201065</v>
      </c>
      <c r="L10" s="228">
        <f>J10-K10</f>
        <v>8201066.6500000004</v>
      </c>
      <c r="M10" s="231">
        <v>0.5</v>
      </c>
      <c r="N10" s="230"/>
      <c r="O10" s="230"/>
      <c r="P10" s="227"/>
      <c r="Q10" s="228"/>
      <c r="R10" s="228">
        <v>125000</v>
      </c>
      <c r="S10" s="228">
        <v>4125000</v>
      </c>
      <c r="T10" s="228">
        <v>3951065</v>
      </c>
      <c r="U10" s="228"/>
      <c r="V10" s="228"/>
      <c r="W10" s="228"/>
      <c r="X10" s="227"/>
      <c r="Y10" s="227"/>
      <c r="Z10" s="198" t="b">
        <f t="shared" si="0"/>
        <v>1</v>
      </c>
      <c r="AA10" s="199">
        <f t="shared" si="1"/>
        <v>0.5</v>
      </c>
      <c r="AB10" s="200" t="b">
        <f t="shared" si="2"/>
        <v>1</v>
      </c>
      <c r="AC10" s="200" t="b">
        <f t="shared" si="3"/>
        <v>1</v>
      </c>
    </row>
    <row r="11" spans="1:29" s="201" customFormat="1" ht="30" customHeight="1">
      <c r="A11" s="227">
        <v>9</v>
      </c>
      <c r="B11" s="229" t="s">
        <v>95</v>
      </c>
      <c r="C11" s="239" t="s">
        <v>47</v>
      </c>
      <c r="D11" s="240" t="s">
        <v>96</v>
      </c>
      <c r="E11" s="241" t="s">
        <v>97</v>
      </c>
      <c r="F11" s="242" t="s">
        <v>98</v>
      </c>
      <c r="G11" s="243" t="s">
        <v>48</v>
      </c>
      <c r="H11" s="235">
        <v>0.59499999999999997</v>
      </c>
      <c r="I11" s="236" t="s">
        <v>99</v>
      </c>
      <c r="J11" s="225">
        <v>8114998.3799999999</v>
      </c>
      <c r="K11" s="230">
        <v>3768438.5</v>
      </c>
      <c r="L11" s="228">
        <v>4346559.88</v>
      </c>
      <c r="M11" s="231">
        <v>0.5</v>
      </c>
      <c r="N11" s="230"/>
      <c r="O11" s="230"/>
      <c r="P11" s="227"/>
      <c r="Q11" s="228"/>
      <c r="R11" s="228">
        <v>2250000</v>
      </c>
      <c r="S11" s="228">
        <v>1518438.5</v>
      </c>
      <c r="T11" s="228"/>
      <c r="U11" s="228"/>
      <c r="V11" s="228"/>
      <c r="W11" s="228"/>
      <c r="X11" s="227"/>
      <c r="Y11" s="227"/>
      <c r="Z11" s="198" t="b">
        <f t="shared" si="0"/>
        <v>1</v>
      </c>
      <c r="AA11" s="199">
        <f t="shared" si="1"/>
        <v>0.46439999999999998</v>
      </c>
      <c r="AB11" s="200" t="b">
        <f t="shared" si="2"/>
        <v>0</v>
      </c>
      <c r="AC11" s="200" t="b">
        <f t="shared" si="3"/>
        <v>1</v>
      </c>
    </row>
    <row r="12" spans="1:29" s="201" customFormat="1" ht="30" customHeight="1">
      <c r="A12" s="227">
        <v>10</v>
      </c>
      <c r="B12" s="229" t="s">
        <v>612</v>
      </c>
      <c r="C12" s="239" t="s">
        <v>47</v>
      </c>
      <c r="D12" s="240" t="s">
        <v>107</v>
      </c>
      <c r="E12" s="241">
        <v>2473011</v>
      </c>
      <c r="F12" s="242" t="s">
        <v>108</v>
      </c>
      <c r="G12" s="243" t="s">
        <v>50</v>
      </c>
      <c r="H12" s="235">
        <v>0.871</v>
      </c>
      <c r="I12" s="236" t="s">
        <v>109</v>
      </c>
      <c r="J12" s="225">
        <v>15751995</v>
      </c>
      <c r="K12" s="230">
        <f>R12+S12</f>
        <v>7875997.5</v>
      </c>
      <c r="L12" s="228">
        <f>J12-K12</f>
        <v>7875997.5</v>
      </c>
      <c r="M12" s="231">
        <v>0.5</v>
      </c>
      <c r="N12" s="230"/>
      <c r="O12" s="230"/>
      <c r="P12" s="227"/>
      <c r="Q12" s="228"/>
      <c r="R12" s="228">
        <v>2500000</v>
      </c>
      <c r="S12" s="228">
        <f>1186534.53+2395029.15+1794433.82</f>
        <v>5375997.5</v>
      </c>
      <c r="T12" s="228"/>
      <c r="U12" s="228"/>
      <c r="V12" s="228"/>
      <c r="W12" s="228"/>
      <c r="X12" s="227"/>
      <c r="Y12" s="227"/>
      <c r="Z12" s="198" t="b">
        <f t="shared" si="0"/>
        <v>1</v>
      </c>
      <c r="AA12" s="199">
        <f t="shared" si="1"/>
        <v>0.5</v>
      </c>
      <c r="AB12" s="200" t="b">
        <f t="shared" si="2"/>
        <v>1</v>
      </c>
      <c r="AC12" s="200" t="b">
        <f t="shared" si="3"/>
        <v>1</v>
      </c>
    </row>
    <row r="13" spans="1:29" s="201" customFormat="1" ht="30" customHeight="1">
      <c r="A13" s="227">
        <v>11</v>
      </c>
      <c r="B13" s="229" t="s">
        <v>114</v>
      </c>
      <c r="C13" s="239" t="s">
        <v>70</v>
      </c>
      <c r="D13" s="233" t="s">
        <v>85</v>
      </c>
      <c r="E13" s="241">
        <v>2468011</v>
      </c>
      <c r="F13" s="242" t="s">
        <v>143</v>
      </c>
      <c r="G13" s="243" t="s">
        <v>50</v>
      </c>
      <c r="H13" s="244">
        <v>1.1000000000000001</v>
      </c>
      <c r="I13" s="236" t="s">
        <v>170</v>
      </c>
      <c r="J13" s="225">
        <v>43995000</v>
      </c>
      <c r="K13" s="230">
        <v>21997500</v>
      </c>
      <c r="L13" s="228">
        <f>J13-K13</f>
        <v>21997500</v>
      </c>
      <c r="M13" s="231">
        <v>0.5</v>
      </c>
      <c r="N13" s="230"/>
      <c r="O13" s="230"/>
      <c r="P13" s="227"/>
      <c r="Q13" s="228"/>
      <c r="R13" s="228"/>
      <c r="S13" s="228">
        <v>5000000</v>
      </c>
      <c r="T13" s="228">
        <v>7000000</v>
      </c>
      <c r="U13" s="228">
        <v>9997500</v>
      </c>
      <c r="V13" s="228"/>
      <c r="W13" s="228"/>
      <c r="X13" s="227"/>
      <c r="Y13" s="227"/>
      <c r="Z13" s="198" t="b">
        <f t="shared" ref="Z13:Z40" si="4">K13=SUM(N13:Y13)</f>
        <v>1</v>
      </c>
      <c r="AA13" s="199">
        <f t="shared" ref="AA13:AA40" si="5">ROUND(K13/J13,4)</f>
        <v>0.5</v>
      </c>
      <c r="AB13" s="200" t="b">
        <f t="shared" ref="AB13:AB40" si="6">AA13=M13</f>
        <v>1</v>
      </c>
      <c r="AC13" s="200" t="b">
        <f t="shared" ref="AC13:AC40" si="7">J13=K13+L13</f>
        <v>1</v>
      </c>
    </row>
    <row r="14" spans="1:29" s="201" customFormat="1" ht="48">
      <c r="A14" s="227">
        <v>12</v>
      </c>
      <c r="B14" s="229" t="s">
        <v>115</v>
      </c>
      <c r="C14" s="239" t="s">
        <v>70</v>
      </c>
      <c r="D14" s="233" t="s">
        <v>79</v>
      </c>
      <c r="E14" s="241" t="s">
        <v>80</v>
      </c>
      <c r="F14" s="242" t="s">
        <v>144</v>
      </c>
      <c r="G14" s="243" t="s">
        <v>48</v>
      </c>
      <c r="H14" s="244">
        <v>1.7629999999999999</v>
      </c>
      <c r="I14" s="236" t="s">
        <v>625</v>
      </c>
      <c r="J14" s="225">
        <v>20671953</v>
      </c>
      <c r="K14" s="230">
        <v>12403171.799999999</v>
      </c>
      <c r="L14" s="228">
        <f t="shared" ref="L14:L38" si="8">J14-K14</f>
        <v>8268781.2000000011</v>
      </c>
      <c r="M14" s="231">
        <v>0.6</v>
      </c>
      <c r="N14" s="230"/>
      <c r="O14" s="230"/>
      <c r="P14" s="227"/>
      <c r="Q14" s="228"/>
      <c r="R14" s="228"/>
      <c r="S14" s="228">
        <v>7441903.2000000002</v>
      </c>
      <c r="T14" s="228">
        <v>4961268.5999999996</v>
      </c>
      <c r="U14" s="228"/>
      <c r="V14" s="228"/>
      <c r="W14" s="228"/>
      <c r="X14" s="227"/>
      <c r="Y14" s="227"/>
      <c r="Z14" s="198" t="b">
        <f t="shared" si="4"/>
        <v>1</v>
      </c>
      <c r="AA14" s="199">
        <f t="shared" si="5"/>
        <v>0.6</v>
      </c>
      <c r="AB14" s="200" t="b">
        <f t="shared" si="6"/>
        <v>1</v>
      </c>
      <c r="AC14" s="200" t="b">
        <f t="shared" si="7"/>
        <v>1</v>
      </c>
    </row>
    <row r="15" spans="1:29" s="201" customFormat="1" ht="30" customHeight="1">
      <c r="A15" s="227">
        <v>13</v>
      </c>
      <c r="B15" s="229" t="s">
        <v>116</v>
      </c>
      <c r="C15" s="239" t="s">
        <v>70</v>
      </c>
      <c r="D15" s="233" t="s">
        <v>117</v>
      </c>
      <c r="E15" s="241" t="s">
        <v>137</v>
      </c>
      <c r="F15" s="242" t="s">
        <v>145</v>
      </c>
      <c r="G15" s="243" t="s">
        <v>50</v>
      </c>
      <c r="H15" s="244">
        <v>2.2269999999999999</v>
      </c>
      <c r="I15" s="236" t="s">
        <v>646</v>
      </c>
      <c r="J15" s="225">
        <v>45549700</v>
      </c>
      <c r="K15" s="230">
        <v>22774850</v>
      </c>
      <c r="L15" s="228">
        <f t="shared" si="8"/>
        <v>22774850</v>
      </c>
      <c r="M15" s="231">
        <v>0.5</v>
      </c>
      <c r="N15" s="230"/>
      <c r="O15" s="230"/>
      <c r="P15" s="227"/>
      <c r="Q15" s="228"/>
      <c r="R15" s="228"/>
      <c r="S15" s="228">
        <v>3416227.5</v>
      </c>
      <c r="T15" s="228">
        <v>6832455</v>
      </c>
      <c r="U15" s="228">
        <v>7971197.5</v>
      </c>
      <c r="V15" s="228">
        <v>4554970</v>
      </c>
      <c r="W15" s="228"/>
      <c r="X15" s="227"/>
      <c r="Y15" s="227"/>
      <c r="Z15" s="198" t="b">
        <f t="shared" si="4"/>
        <v>1</v>
      </c>
      <c r="AA15" s="199">
        <f t="shared" si="5"/>
        <v>0.5</v>
      </c>
      <c r="AB15" s="200" t="b">
        <f t="shared" si="6"/>
        <v>1</v>
      </c>
      <c r="AC15" s="200" t="b">
        <f t="shared" si="7"/>
        <v>1</v>
      </c>
    </row>
    <row r="16" spans="1:29" s="201" customFormat="1" ht="24">
      <c r="A16" s="227">
        <v>14</v>
      </c>
      <c r="B16" s="229" t="s">
        <v>595</v>
      </c>
      <c r="C16" s="239" t="s">
        <v>70</v>
      </c>
      <c r="D16" s="233" t="s">
        <v>71</v>
      </c>
      <c r="E16" s="241" t="s">
        <v>72</v>
      </c>
      <c r="F16" s="242" t="s">
        <v>146</v>
      </c>
      <c r="G16" s="243" t="s">
        <v>50</v>
      </c>
      <c r="H16" s="244">
        <v>2.4780000000000002</v>
      </c>
      <c r="I16" s="236" t="s">
        <v>171</v>
      </c>
      <c r="J16" s="225">
        <v>8005058.9900000002</v>
      </c>
      <c r="K16" s="230">
        <f>ROUNDDOWN(J16*M16,2)</f>
        <v>4402782.4400000004</v>
      </c>
      <c r="L16" s="228">
        <f>J16-K16</f>
        <v>3602276.55</v>
      </c>
      <c r="M16" s="231">
        <v>0.55000000000000004</v>
      </c>
      <c r="N16" s="230"/>
      <c r="O16" s="230"/>
      <c r="P16" s="227"/>
      <c r="Q16" s="228"/>
      <c r="R16" s="228"/>
      <c r="S16" s="228">
        <v>2887500</v>
      </c>
      <c r="T16" s="228">
        <v>0</v>
      </c>
      <c r="U16" s="228">
        <v>1515282.44</v>
      </c>
      <c r="V16" s="228"/>
      <c r="W16" s="228"/>
      <c r="X16" s="227"/>
      <c r="Y16" s="227"/>
      <c r="Z16" s="198" t="b">
        <f t="shared" si="4"/>
        <v>1</v>
      </c>
      <c r="AA16" s="199">
        <f t="shared" si="5"/>
        <v>0.55000000000000004</v>
      </c>
      <c r="AB16" s="200" t="b">
        <f t="shared" si="6"/>
        <v>1</v>
      </c>
      <c r="AC16" s="200" t="b">
        <f t="shared" si="7"/>
        <v>1</v>
      </c>
    </row>
    <row r="17" spans="1:29" s="223" customFormat="1" ht="81.75" customHeight="1">
      <c r="A17" s="227">
        <v>15</v>
      </c>
      <c r="B17" s="229" t="s">
        <v>581</v>
      </c>
      <c r="C17" s="243"/>
      <c r="D17" s="266" t="s">
        <v>605</v>
      </c>
      <c r="E17" s="241" t="s">
        <v>93</v>
      </c>
      <c r="F17" s="242" t="s">
        <v>62</v>
      </c>
      <c r="G17" s="243"/>
      <c r="H17" s="244"/>
      <c r="I17" s="236"/>
      <c r="J17" s="225"/>
      <c r="K17" s="230"/>
      <c r="L17" s="228"/>
      <c r="M17" s="231"/>
      <c r="N17" s="230"/>
      <c r="O17" s="230"/>
      <c r="P17" s="227"/>
      <c r="Q17" s="228"/>
      <c r="R17" s="228"/>
      <c r="S17" s="228"/>
      <c r="T17" s="228"/>
      <c r="U17" s="228"/>
      <c r="V17" s="228"/>
      <c r="W17" s="228"/>
      <c r="X17" s="227"/>
      <c r="Y17" s="227"/>
      <c r="Z17" s="198" t="b">
        <f t="shared" si="4"/>
        <v>1</v>
      </c>
      <c r="AA17" s="199" t="e">
        <f t="shared" si="5"/>
        <v>#DIV/0!</v>
      </c>
      <c r="AB17" s="200" t="e">
        <f t="shared" si="6"/>
        <v>#DIV/0!</v>
      </c>
      <c r="AC17" s="200" t="b">
        <f t="shared" si="7"/>
        <v>1</v>
      </c>
    </row>
    <row r="18" spans="1:29" s="201" customFormat="1" ht="67.5" customHeight="1">
      <c r="A18" s="227">
        <v>16</v>
      </c>
      <c r="B18" s="229" t="s">
        <v>663</v>
      </c>
      <c r="C18" s="239"/>
      <c r="D18" s="266" t="s">
        <v>618</v>
      </c>
      <c r="E18" s="241" t="s">
        <v>239</v>
      </c>
      <c r="F18" s="242" t="s">
        <v>147</v>
      </c>
      <c r="G18" s="243"/>
      <c r="H18" s="244"/>
      <c r="I18" s="236"/>
      <c r="J18" s="225"/>
      <c r="K18" s="230"/>
      <c r="L18" s="228"/>
      <c r="M18" s="231"/>
      <c r="N18" s="230"/>
      <c r="O18" s="230"/>
      <c r="P18" s="227"/>
      <c r="Q18" s="228"/>
      <c r="R18" s="228"/>
      <c r="S18" s="228"/>
      <c r="T18" s="228"/>
      <c r="U18" s="228"/>
      <c r="V18" s="228"/>
      <c r="W18" s="228"/>
      <c r="X18" s="227"/>
      <c r="Y18" s="227"/>
      <c r="Z18" s="198" t="b">
        <f t="shared" ref="Z18" si="9">K18=SUM(N18:Y18)</f>
        <v>1</v>
      </c>
      <c r="AA18" s="199" t="e">
        <f t="shared" ref="AA18" si="10">ROUND(K18/J18,4)</f>
        <v>#DIV/0!</v>
      </c>
      <c r="AB18" s="200" t="e">
        <f t="shared" ref="AB18" si="11">AA18=M18</f>
        <v>#DIV/0!</v>
      </c>
      <c r="AC18" s="200" t="b">
        <f t="shared" ref="AC18" si="12">J18=K18+L18</f>
        <v>1</v>
      </c>
    </row>
    <row r="19" spans="1:29" s="223" customFormat="1" ht="49.5" customHeight="1">
      <c r="A19" s="227">
        <v>17</v>
      </c>
      <c r="B19" s="229" t="s">
        <v>623</v>
      </c>
      <c r="C19" s="239"/>
      <c r="D19" s="245" t="s">
        <v>599</v>
      </c>
      <c r="E19" s="241">
        <v>2473011</v>
      </c>
      <c r="F19" s="242" t="s">
        <v>108</v>
      </c>
      <c r="G19" s="243"/>
      <c r="H19" s="244"/>
      <c r="I19" s="236"/>
      <c r="J19" s="225"/>
      <c r="K19" s="230"/>
      <c r="L19" s="228"/>
      <c r="M19" s="231"/>
      <c r="N19" s="230"/>
      <c r="O19" s="230"/>
      <c r="P19" s="227"/>
      <c r="Q19" s="228"/>
      <c r="R19" s="228"/>
      <c r="S19" s="228"/>
      <c r="T19" s="228"/>
      <c r="U19" s="228"/>
      <c r="V19" s="228"/>
      <c r="W19" s="228"/>
      <c r="X19" s="227"/>
      <c r="Y19" s="227"/>
      <c r="Z19" s="198" t="b">
        <f t="shared" si="4"/>
        <v>1</v>
      </c>
      <c r="AA19" s="199" t="e">
        <f t="shared" si="5"/>
        <v>#DIV/0!</v>
      </c>
      <c r="AB19" s="200" t="e">
        <f t="shared" si="6"/>
        <v>#DIV/0!</v>
      </c>
      <c r="AC19" s="200" t="b">
        <f t="shared" si="7"/>
        <v>1</v>
      </c>
    </row>
    <row r="20" spans="1:29" s="201" customFormat="1" ht="30" customHeight="1">
      <c r="A20" s="227">
        <v>18</v>
      </c>
      <c r="B20" s="229" t="s">
        <v>596</v>
      </c>
      <c r="C20" s="239" t="s">
        <v>70</v>
      </c>
      <c r="D20" s="233" t="s">
        <v>71</v>
      </c>
      <c r="E20" s="241" t="s">
        <v>72</v>
      </c>
      <c r="F20" s="242" t="s">
        <v>148</v>
      </c>
      <c r="G20" s="243" t="s">
        <v>50</v>
      </c>
      <c r="H20" s="244">
        <v>2.242</v>
      </c>
      <c r="I20" s="236" t="s">
        <v>173</v>
      </c>
      <c r="J20" s="225">
        <v>12512199.25</v>
      </c>
      <c r="K20" s="230">
        <f>ROUNDDOWN(J20*M20,2)</f>
        <v>6881709.5800000001</v>
      </c>
      <c r="L20" s="228">
        <v>5630489.6699999999</v>
      </c>
      <c r="M20" s="231">
        <v>0.55000000000000004</v>
      </c>
      <c r="N20" s="230"/>
      <c r="O20" s="230"/>
      <c r="P20" s="227"/>
      <c r="Q20" s="228"/>
      <c r="R20" s="228"/>
      <c r="S20" s="230">
        <v>6881709.5800000001</v>
      </c>
      <c r="T20" s="228"/>
      <c r="U20" s="228"/>
      <c r="V20" s="228"/>
      <c r="W20" s="228"/>
      <c r="X20" s="227"/>
      <c r="Y20" s="227"/>
      <c r="Z20" s="198" t="b">
        <f t="shared" si="4"/>
        <v>1</v>
      </c>
      <c r="AA20" s="199">
        <f t="shared" si="5"/>
        <v>0.55000000000000004</v>
      </c>
      <c r="AB20" s="200" t="b">
        <f t="shared" si="6"/>
        <v>1</v>
      </c>
      <c r="AC20" s="200" t="b">
        <f t="shared" si="7"/>
        <v>1</v>
      </c>
    </row>
    <row r="21" spans="1:29" s="205" customFormat="1" ht="42" customHeight="1">
      <c r="A21" s="49">
        <v>19</v>
      </c>
      <c r="B21" s="246" t="s">
        <v>119</v>
      </c>
      <c r="C21" s="247" t="s">
        <v>83</v>
      </c>
      <c r="D21" s="50" t="s">
        <v>68</v>
      </c>
      <c r="E21" s="248">
        <v>2411</v>
      </c>
      <c r="F21" s="249" t="s">
        <v>149</v>
      </c>
      <c r="G21" s="250" t="s">
        <v>48</v>
      </c>
      <c r="H21" s="248">
        <v>0.99</v>
      </c>
      <c r="I21" s="53" t="s">
        <v>174</v>
      </c>
      <c r="J21" s="251">
        <v>3862075.76</v>
      </c>
      <c r="K21" s="252">
        <v>3089660.6</v>
      </c>
      <c r="L21" s="253">
        <v>772415.16</v>
      </c>
      <c r="M21" s="55">
        <v>0.8</v>
      </c>
      <c r="N21" s="252"/>
      <c r="O21" s="252"/>
      <c r="P21" s="49"/>
      <c r="Q21" s="253"/>
      <c r="R21" s="253"/>
      <c r="S21" s="253">
        <v>3089660.6</v>
      </c>
      <c r="T21" s="253"/>
      <c r="U21" s="253"/>
      <c r="V21" s="253"/>
      <c r="W21" s="253"/>
      <c r="X21" s="49"/>
      <c r="Y21" s="49"/>
      <c r="Z21" s="202" t="b">
        <f t="shared" si="4"/>
        <v>1</v>
      </c>
      <c r="AA21" s="203">
        <f t="shared" si="5"/>
        <v>0.8</v>
      </c>
      <c r="AB21" s="204" t="b">
        <f t="shared" si="6"/>
        <v>1</v>
      </c>
      <c r="AC21" s="204" t="b">
        <f t="shared" si="7"/>
        <v>1</v>
      </c>
    </row>
    <row r="22" spans="1:29" s="205" customFormat="1" ht="48.75" customHeight="1">
      <c r="A22" s="49">
        <v>20</v>
      </c>
      <c r="B22" s="246" t="s">
        <v>120</v>
      </c>
      <c r="C22" s="247" t="s">
        <v>83</v>
      </c>
      <c r="D22" s="50" t="s">
        <v>79</v>
      </c>
      <c r="E22" s="248" t="s">
        <v>80</v>
      </c>
      <c r="F22" s="249" t="s">
        <v>150</v>
      </c>
      <c r="G22" s="250" t="s">
        <v>48</v>
      </c>
      <c r="H22" s="248">
        <v>2.7570000000000001</v>
      </c>
      <c r="I22" s="53" t="s">
        <v>175</v>
      </c>
      <c r="J22" s="251">
        <f>K22+L22</f>
        <v>9936163.120000001</v>
      </c>
      <c r="K22" s="252">
        <v>5961697.8700000001</v>
      </c>
      <c r="L22" s="253">
        <v>3974465.25</v>
      </c>
      <c r="M22" s="55">
        <v>0.6</v>
      </c>
      <c r="N22" s="252"/>
      <c r="O22" s="252"/>
      <c r="P22" s="49"/>
      <c r="Q22" s="253"/>
      <c r="R22" s="253"/>
      <c r="S22" s="253">
        <v>5961697.8700000001</v>
      </c>
      <c r="T22" s="253"/>
      <c r="U22" s="253"/>
      <c r="V22" s="253"/>
      <c r="W22" s="253"/>
      <c r="X22" s="49"/>
      <c r="Y22" s="49"/>
      <c r="Z22" s="202" t="b">
        <f t="shared" si="4"/>
        <v>1</v>
      </c>
      <c r="AA22" s="203">
        <f t="shared" si="5"/>
        <v>0.6</v>
      </c>
      <c r="AB22" s="204" t="b">
        <f t="shared" si="6"/>
        <v>1</v>
      </c>
      <c r="AC22" s="204" t="b">
        <f t="shared" si="7"/>
        <v>1</v>
      </c>
    </row>
    <row r="23" spans="1:29" s="201" customFormat="1" ht="30" customHeight="1">
      <c r="A23" s="227">
        <v>21</v>
      </c>
      <c r="B23" s="229" t="s">
        <v>660</v>
      </c>
      <c r="C23" s="239" t="s">
        <v>70</v>
      </c>
      <c r="D23" s="233" t="s">
        <v>65</v>
      </c>
      <c r="E23" s="244" t="s">
        <v>94</v>
      </c>
      <c r="F23" s="242" t="s">
        <v>111</v>
      </c>
      <c r="G23" s="243" t="s">
        <v>48</v>
      </c>
      <c r="H23" s="244">
        <v>2.1</v>
      </c>
      <c r="I23" s="236" t="s">
        <v>176</v>
      </c>
      <c r="J23" s="225">
        <v>8005000</v>
      </c>
      <c r="K23" s="230">
        <f>S23+T23+U23</f>
        <v>4402750</v>
      </c>
      <c r="L23" s="228">
        <f t="shared" si="8"/>
        <v>3602250</v>
      </c>
      <c r="M23" s="231">
        <v>0.55000000000000004</v>
      </c>
      <c r="N23" s="230"/>
      <c r="O23" s="230"/>
      <c r="P23" s="227"/>
      <c r="Q23" s="228"/>
      <c r="R23" s="228"/>
      <c r="S23" s="228">
        <v>277750</v>
      </c>
      <c r="T23" s="228">
        <v>550000</v>
      </c>
      <c r="U23" s="228">
        <v>3575000.0000000005</v>
      </c>
      <c r="V23" s="228"/>
      <c r="W23" s="228"/>
      <c r="X23" s="227"/>
      <c r="Y23" s="227"/>
      <c r="Z23" s="198" t="b">
        <f t="shared" si="4"/>
        <v>1</v>
      </c>
      <c r="AA23" s="199">
        <f t="shared" si="5"/>
        <v>0.55000000000000004</v>
      </c>
      <c r="AB23" s="200" t="b">
        <f t="shared" si="6"/>
        <v>1</v>
      </c>
      <c r="AC23" s="200" t="b">
        <f t="shared" si="7"/>
        <v>1</v>
      </c>
    </row>
    <row r="24" spans="1:29" s="205" customFormat="1" ht="30" customHeight="1">
      <c r="A24" s="49">
        <v>22</v>
      </c>
      <c r="B24" s="246" t="s">
        <v>121</v>
      </c>
      <c r="C24" s="247" t="s">
        <v>83</v>
      </c>
      <c r="D24" s="50" t="s">
        <v>105</v>
      </c>
      <c r="E24" s="248">
        <v>2403</v>
      </c>
      <c r="F24" s="249" t="s">
        <v>151</v>
      </c>
      <c r="G24" s="250" t="s">
        <v>50</v>
      </c>
      <c r="H24" s="248">
        <v>0.76100000000000001</v>
      </c>
      <c r="I24" s="53" t="s">
        <v>626</v>
      </c>
      <c r="J24" s="251">
        <v>9888176</v>
      </c>
      <c r="K24" s="252">
        <v>5932905.5999999996</v>
      </c>
      <c r="L24" s="253">
        <f t="shared" si="8"/>
        <v>3955270.4000000004</v>
      </c>
      <c r="M24" s="55">
        <v>0.6</v>
      </c>
      <c r="N24" s="252"/>
      <c r="O24" s="252"/>
      <c r="P24" s="49"/>
      <c r="Q24" s="253"/>
      <c r="R24" s="253"/>
      <c r="S24" s="253">
        <v>5932905.5999999996</v>
      </c>
      <c r="T24" s="253"/>
      <c r="U24" s="253"/>
      <c r="V24" s="253"/>
      <c r="W24" s="253"/>
      <c r="X24" s="49"/>
      <c r="Y24" s="49"/>
      <c r="Z24" s="202" t="b">
        <f t="shared" si="4"/>
        <v>1</v>
      </c>
      <c r="AA24" s="203">
        <f t="shared" si="5"/>
        <v>0.6</v>
      </c>
      <c r="AB24" s="204" t="b">
        <f t="shared" si="6"/>
        <v>1</v>
      </c>
      <c r="AC24" s="204" t="b">
        <f t="shared" si="7"/>
        <v>1</v>
      </c>
    </row>
    <row r="25" spans="1:29" s="201" customFormat="1" ht="30" customHeight="1">
      <c r="A25" s="227">
        <v>23</v>
      </c>
      <c r="B25" s="229" t="s">
        <v>661</v>
      </c>
      <c r="C25" s="239" t="s">
        <v>70</v>
      </c>
      <c r="D25" s="233" t="s">
        <v>65</v>
      </c>
      <c r="E25" s="244" t="s">
        <v>94</v>
      </c>
      <c r="F25" s="242" t="s">
        <v>152</v>
      </c>
      <c r="G25" s="243" t="s">
        <v>48</v>
      </c>
      <c r="H25" s="244">
        <v>3.08</v>
      </c>
      <c r="I25" s="236" t="s">
        <v>176</v>
      </c>
      <c r="J25" s="225">
        <v>6165000</v>
      </c>
      <c r="K25" s="230">
        <f>S25+T25+U25</f>
        <v>3390750</v>
      </c>
      <c r="L25" s="228">
        <f t="shared" si="8"/>
        <v>2774250</v>
      </c>
      <c r="M25" s="231">
        <v>0.55000000000000004</v>
      </c>
      <c r="N25" s="230"/>
      <c r="O25" s="230"/>
      <c r="P25" s="227"/>
      <c r="Q25" s="228"/>
      <c r="R25" s="228"/>
      <c r="S25" s="228">
        <v>90750.000000000015</v>
      </c>
      <c r="T25" s="228">
        <v>550000</v>
      </c>
      <c r="U25" s="228">
        <v>2750000</v>
      </c>
      <c r="V25" s="228"/>
      <c r="W25" s="228"/>
      <c r="X25" s="227"/>
      <c r="Y25" s="227"/>
      <c r="Z25" s="198" t="b">
        <f t="shared" si="4"/>
        <v>1</v>
      </c>
      <c r="AA25" s="199">
        <f t="shared" si="5"/>
        <v>0.55000000000000004</v>
      </c>
      <c r="AB25" s="200" t="b">
        <f t="shared" si="6"/>
        <v>1</v>
      </c>
      <c r="AC25" s="200" t="b">
        <f t="shared" si="7"/>
        <v>1</v>
      </c>
    </row>
    <row r="26" spans="1:29" s="201" customFormat="1" ht="30" customHeight="1">
      <c r="A26" s="227">
        <v>24</v>
      </c>
      <c r="B26" s="229" t="s">
        <v>575</v>
      </c>
      <c r="C26" s="239" t="s">
        <v>70</v>
      </c>
      <c r="D26" s="233" t="s">
        <v>88</v>
      </c>
      <c r="E26" s="244" t="s">
        <v>89</v>
      </c>
      <c r="F26" s="242" t="s">
        <v>153</v>
      </c>
      <c r="G26" s="243" t="s">
        <v>50</v>
      </c>
      <c r="H26" s="244">
        <v>3.125</v>
      </c>
      <c r="I26" s="236" t="s">
        <v>178</v>
      </c>
      <c r="J26" s="225">
        <v>22000000</v>
      </c>
      <c r="K26" s="230">
        <f>S26+T26+U26</f>
        <v>10337066.54999999</v>
      </c>
      <c r="L26" s="228">
        <f t="shared" si="8"/>
        <v>11662933.45000001</v>
      </c>
      <c r="M26" s="231">
        <v>0.55000000000000004</v>
      </c>
      <c r="N26" s="230"/>
      <c r="O26" s="230"/>
      <c r="P26" s="227"/>
      <c r="Q26" s="228"/>
      <c r="R26" s="228"/>
      <c r="S26" s="228">
        <v>137500</v>
      </c>
      <c r="T26" s="297">
        <v>4287066.55</v>
      </c>
      <c r="U26" s="228">
        <f>1874050.11999999+997094.5+3041355.38</f>
        <v>5912499.9999999898</v>
      </c>
      <c r="V26" s="228"/>
      <c r="W26" s="228"/>
      <c r="X26" s="227"/>
      <c r="Y26" s="227"/>
      <c r="Z26" s="198" t="b">
        <f t="shared" si="4"/>
        <v>1</v>
      </c>
      <c r="AA26" s="199">
        <f t="shared" si="5"/>
        <v>0.46989999999999998</v>
      </c>
      <c r="AB26" s="200" t="b">
        <f t="shared" si="6"/>
        <v>0</v>
      </c>
      <c r="AC26" s="200" t="b">
        <f t="shared" si="7"/>
        <v>1</v>
      </c>
    </row>
    <row r="27" spans="1:29" s="201" customFormat="1" ht="30" customHeight="1">
      <c r="A27" s="227">
        <v>25</v>
      </c>
      <c r="B27" s="254" t="s">
        <v>579</v>
      </c>
      <c r="C27" s="239" t="s">
        <v>70</v>
      </c>
      <c r="D27" s="233" t="s">
        <v>100</v>
      </c>
      <c r="E27" s="244" t="s">
        <v>101</v>
      </c>
      <c r="F27" s="242" t="s">
        <v>154</v>
      </c>
      <c r="G27" s="243" t="s">
        <v>50</v>
      </c>
      <c r="H27" s="244">
        <v>0.218</v>
      </c>
      <c r="I27" s="236" t="s">
        <v>179</v>
      </c>
      <c r="J27" s="225">
        <f>K27+L27</f>
        <v>2342000</v>
      </c>
      <c r="K27" s="230">
        <f>S27+T27</f>
        <v>90000</v>
      </c>
      <c r="L27" s="228">
        <v>2252000</v>
      </c>
      <c r="M27" s="231">
        <v>0.6</v>
      </c>
      <c r="N27" s="230"/>
      <c r="O27" s="230"/>
      <c r="P27" s="227"/>
      <c r="Q27" s="228"/>
      <c r="R27" s="228"/>
      <c r="S27" s="228">
        <v>90000</v>
      </c>
      <c r="T27" s="297">
        <v>0</v>
      </c>
      <c r="U27" s="228"/>
      <c r="V27" s="228"/>
      <c r="W27" s="228"/>
      <c r="X27" s="227"/>
      <c r="Y27" s="227"/>
      <c r="Z27" s="198" t="b">
        <f t="shared" si="4"/>
        <v>1</v>
      </c>
      <c r="AA27" s="199">
        <f t="shared" si="5"/>
        <v>3.8399999999999997E-2</v>
      </c>
      <c r="AB27" s="200" t="b">
        <f t="shared" si="6"/>
        <v>0</v>
      </c>
      <c r="AC27" s="200" t="b">
        <f t="shared" si="7"/>
        <v>1</v>
      </c>
    </row>
    <row r="28" spans="1:29" s="205" customFormat="1" ht="30" customHeight="1">
      <c r="A28" s="49">
        <v>26</v>
      </c>
      <c r="B28" s="255" t="s">
        <v>122</v>
      </c>
      <c r="C28" s="247" t="s">
        <v>83</v>
      </c>
      <c r="D28" s="49" t="s">
        <v>123</v>
      </c>
      <c r="E28" s="248">
        <v>2478011</v>
      </c>
      <c r="F28" s="249" t="s">
        <v>155</v>
      </c>
      <c r="G28" s="250" t="s">
        <v>48</v>
      </c>
      <c r="H28" s="248">
        <v>0.13600000000000001</v>
      </c>
      <c r="I28" s="53" t="s">
        <v>177</v>
      </c>
      <c r="J28" s="251">
        <v>3872009</v>
      </c>
      <c r="K28" s="252">
        <f>ROUNDDOWN(J28*M28,2)</f>
        <v>3097607.2</v>
      </c>
      <c r="L28" s="253">
        <f>J28-K28</f>
        <v>774401.79999999981</v>
      </c>
      <c r="M28" s="55">
        <v>0.8</v>
      </c>
      <c r="N28" s="252"/>
      <c r="O28" s="252"/>
      <c r="P28" s="49"/>
      <c r="Q28" s="253"/>
      <c r="R28" s="253"/>
      <c r="S28" s="253">
        <v>3097607.2</v>
      </c>
      <c r="T28" s="253"/>
      <c r="U28" s="253"/>
      <c r="V28" s="253"/>
      <c r="W28" s="253"/>
      <c r="X28" s="49"/>
      <c r="Y28" s="49"/>
      <c r="Z28" s="202" t="b">
        <f t="shared" si="4"/>
        <v>1</v>
      </c>
      <c r="AA28" s="203">
        <f t="shared" si="5"/>
        <v>0.8</v>
      </c>
      <c r="AB28" s="204" t="b">
        <f t="shared" si="6"/>
        <v>1</v>
      </c>
      <c r="AC28" s="204" t="b">
        <f t="shared" si="7"/>
        <v>1</v>
      </c>
    </row>
    <row r="29" spans="1:29" s="205" customFormat="1" ht="30" customHeight="1">
      <c r="A29" s="49">
        <v>27</v>
      </c>
      <c r="B29" s="255" t="s">
        <v>124</v>
      </c>
      <c r="C29" s="247" t="s">
        <v>83</v>
      </c>
      <c r="D29" s="49" t="s">
        <v>63</v>
      </c>
      <c r="E29" s="248" t="s">
        <v>110</v>
      </c>
      <c r="F29" s="249" t="s">
        <v>156</v>
      </c>
      <c r="G29" s="250" t="s">
        <v>48</v>
      </c>
      <c r="H29" s="248">
        <v>0.68700000000000006</v>
      </c>
      <c r="I29" s="53" t="s">
        <v>174</v>
      </c>
      <c r="J29" s="251">
        <v>5516232.3499999996</v>
      </c>
      <c r="K29" s="252">
        <v>3309739.41</v>
      </c>
      <c r="L29" s="253">
        <f t="shared" si="8"/>
        <v>2206492.9399999995</v>
      </c>
      <c r="M29" s="55">
        <v>0.6</v>
      </c>
      <c r="N29" s="252"/>
      <c r="O29" s="252"/>
      <c r="P29" s="49"/>
      <c r="Q29" s="253"/>
      <c r="R29" s="253"/>
      <c r="S29" s="253">
        <f>K29</f>
        <v>3309739.41</v>
      </c>
      <c r="T29" s="253"/>
      <c r="U29" s="253"/>
      <c r="V29" s="253"/>
      <c r="W29" s="253"/>
      <c r="X29" s="49"/>
      <c r="Y29" s="49"/>
      <c r="Z29" s="202" t="b">
        <f t="shared" si="4"/>
        <v>1</v>
      </c>
      <c r="AA29" s="203">
        <f t="shared" si="5"/>
        <v>0.6</v>
      </c>
      <c r="AB29" s="204" t="b">
        <f t="shared" si="6"/>
        <v>1</v>
      </c>
      <c r="AC29" s="204" t="b">
        <f t="shared" si="7"/>
        <v>1</v>
      </c>
    </row>
    <row r="30" spans="1:29" s="205" customFormat="1" ht="30" customHeight="1">
      <c r="A30" s="49">
        <v>28</v>
      </c>
      <c r="B30" s="255" t="s">
        <v>125</v>
      </c>
      <c r="C30" s="247" t="s">
        <v>83</v>
      </c>
      <c r="D30" s="49" t="s">
        <v>126</v>
      </c>
      <c r="E30" s="248" t="s">
        <v>140</v>
      </c>
      <c r="F30" s="249" t="s">
        <v>157</v>
      </c>
      <c r="G30" s="250" t="s">
        <v>169</v>
      </c>
      <c r="H30" s="248">
        <v>5.3070000000000004</v>
      </c>
      <c r="I30" s="53" t="s">
        <v>652</v>
      </c>
      <c r="J30" s="251">
        <v>1974927.64</v>
      </c>
      <c r="K30" s="252">
        <v>1184956.58</v>
      </c>
      <c r="L30" s="253">
        <v>789971.06</v>
      </c>
      <c r="M30" s="55">
        <v>0.6</v>
      </c>
      <c r="N30" s="252"/>
      <c r="O30" s="252"/>
      <c r="P30" s="49"/>
      <c r="Q30" s="253"/>
      <c r="R30" s="253"/>
      <c r="S30" s="252">
        <v>1184956.58</v>
      </c>
      <c r="T30" s="253"/>
      <c r="U30" s="253"/>
      <c r="V30" s="253"/>
      <c r="W30" s="253"/>
      <c r="X30" s="49"/>
      <c r="Y30" s="49"/>
      <c r="Z30" s="202" t="b">
        <f t="shared" si="4"/>
        <v>1</v>
      </c>
      <c r="AA30" s="203">
        <f t="shared" si="5"/>
        <v>0.6</v>
      </c>
      <c r="AB30" s="204" t="b">
        <f t="shared" si="6"/>
        <v>1</v>
      </c>
      <c r="AC30" s="204" t="b">
        <f t="shared" si="7"/>
        <v>1</v>
      </c>
    </row>
    <row r="31" spans="1:29" s="205" customFormat="1" ht="30" customHeight="1">
      <c r="A31" s="49">
        <v>29</v>
      </c>
      <c r="B31" s="255" t="s">
        <v>127</v>
      </c>
      <c r="C31" s="247" t="s">
        <v>83</v>
      </c>
      <c r="D31" s="49" t="s">
        <v>103</v>
      </c>
      <c r="E31" s="248">
        <v>2401</v>
      </c>
      <c r="F31" s="249" t="s">
        <v>158</v>
      </c>
      <c r="G31" s="250" t="s">
        <v>48</v>
      </c>
      <c r="H31" s="248">
        <v>0.85</v>
      </c>
      <c r="I31" s="53" t="s">
        <v>653</v>
      </c>
      <c r="J31" s="251">
        <v>10000000</v>
      </c>
      <c r="K31" s="252">
        <v>5500000</v>
      </c>
      <c r="L31" s="253">
        <f t="shared" si="8"/>
        <v>4500000</v>
      </c>
      <c r="M31" s="55">
        <v>0.55000000000000004</v>
      </c>
      <c r="N31" s="252"/>
      <c r="O31" s="252"/>
      <c r="P31" s="49"/>
      <c r="Q31" s="253"/>
      <c r="R31" s="253"/>
      <c r="S31" s="253">
        <v>5500000</v>
      </c>
      <c r="T31" s="253"/>
      <c r="U31" s="253"/>
      <c r="V31" s="253"/>
      <c r="W31" s="253"/>
      <c r="X31" s="49"/>
      <c r="Y31" s="49"/>
      <c r="Z31" s="202" t="b">
        <f t="shared" si="4"/>
        <v>1</v>
      </c>
      <c r="AA31" s="203">
        <f t="shared" si="5"/>
        <v>0.55000000000000004</v>
      </c>
      <c r="AB31" s="204" t="b">
        <f t="shared" si="6"/>
        <v>1</v>
      </c>
      <c r="AC31" s="204" t="b">
        <f t="shared" si="7"/>
        <v>1</v>
      </c>
    </row>
    <row r="32" spans="1:29" s="201" customFormat="1" ht="30" customHeight="1">
      <c r="A32" s="227">
        <v>30</v>
      </c>
      <c r="B32" s="254" t="s">
        <v>578</v>
      </c>
      <c r="C32" s="239" t="s">
        <v>70</v>
      </c>
      <c r="D32" s="227" t="s">
        <v>112</v>
      </c>
      <c r="E32" s="241">
        <v>2475011</v>
      </c>
      <c r="F32" s="242" t="s">
        <v>159</v>
      </c>
      <c r="G32" s="243" t="s">
        <v>50</v>
      </c>
      <c r="H32" s="244">
        <v>0.32</v>
      </c>
      <c r="I32" s="236" t="s">
        <v>183</v>
      </c>
      <c r="J32" s="225">
        <v>5755829</v>
      </c>
      <c r="K32" s="230">
        <f>S32+T32</f>
        <v>178789.5</v>
      </c>
      <c r="L32" s="228">
        <f t="shared" si="8"/>
        <v>5577039.5</v>
      </c>
      <c r="M32" s="231">
        <v>0.5</v>
      </c>
      <c r="N32" s="230"/>
      <c r="O32" s="230"/>
      <c r="P32" s="227"/>
      <c r="Q32" s="228"/>
      <c r="R32" s="228"/>
      <c r="S32" s="228">
        <v>178789.5</v>
      </c>
      <c r="T32" s="297">
        <v>0</v>
      </c>
      <c r="U32" s="228"/>
      <c r="V32" s="228"/>
      <c r="W32" s="228"/>
      <c r="X32" s="227"/>
      <c r="Y32" s="227"/>
      <c r="Z32" s="198" t="b">
        <f t="shared" si="4"/>
        <v>1</v>
      </c>
      <c r="AA32" s="199">
        <f t="shared" si="5"/>
        <v>3.1099999999999999E-2</v>
      </c>
      <c r="AB32" s="200" t="b">
        <f t="shared" si="6"/>
        <v>0</v>
      </c>
      <c r="AC32" s="200" t="b">
        <f t="shared" si="7"/>
        <v>1</v>
      </c>
    </row>
    <row r="33" spans="1:29" s="226" customFormat="1" ht="55.5" customHeight="1">
      <c r="A33" s="49">
        <v>31</v>
      </c>
      <c r="B33" s="255" t="s">
        <v>128</v>
      </c>
      <c r="C33" s="247"/>
      <c r="D33" s="256" t="s">
        <v>600</v>
      </c>
      <c r="E33" s="248" t="s">
        <v>141</v>
      </c>
      <c r="F33" s="249" t="s">
        <v>160</v>
      </c>
      <c r="G33" s="250"/>
      <c r="H33" s="248"/>
      <c r="I33" s="53"/>
      <c r="J33" s="251"/>
      <c r="K33" s="252"/>
      <c r="L33" s="253"/>
      <c r="M33" s="55"/>
      <c r="N33" s="252"/>
      <c r="O33" s="252"/>
      <c r="P33" s="49"/>
      <c r="Q33" s="253"/>
      <c r="R33" s="253"/>
      <c r="S33" s="253"/>
      <c r="T33" s="253"/>
      <c r="U33" s="253"/>
      <c r="V33" s="253"/>
      <c r="W33" s="253"/>
      <c r="X33" s="49"/>
      <c r="Y33" s="49"/>
      <c r="Z33" s="202" t="b">
        <f t="shared" si="4"/>
        <v>1</v>
      </c>
      <c r="AA33" s="203" t="e">
        <f t="shared" si="5"/>
        <v>#DIV/0!</v>
      </c>
      <c r="AB33" s="204" t="e">
        <f t="shared" si="6"/>
        <v>#DIV/0!</v>
      </c>
      <c r="AC33" s="204" t="b">
        <f t="shared" si="7"/>
        <v>1</v>
      </c>
    </row>
    <row r="34" spans="1:29" s="205" customFormat="1" ht="30" customHeight="1">
      <c r="A34" s="49">
        <v>32</v>
      </c>
      <c r="B34" s="255" t="s">
        <v>129</v>
      </c>
      <c r="C34" s="247" t="s">
        <v>83</v>
      </c>
      <c r="D34" s="49" t="s">
        <v>103</v>
      </c>
      <c r="E34" s="248" t="s">
        <v>104</v>
      </c>
      <c r="F34" s="249" t="s">
        <v>161</v>
      </c>
      <c r="G34" s="250" t="s">
        <v>48</v>
      </c>
      <c r="H34" s="248">
        <v>0.24199999999999999</v>
      </c>
      <c r="I34" s="53" t="s">
        <v>182</v>
      </c>
      <c r="J34" s="251">
        <v>1784731.46</v>
      </c>
      <c r="K34" s="252">
        <v>981602</v>
      </c>
      <c r="L34" s="253">
        <v>803129.46</v>
      </c>
      <c r="M34" s="55">
        <v>0.55000000000000004</v>
      </c>
      <c r="N34" s="252"/>
      <c r="O34" s="252"/>
      <c r="P34" s="49"/>
      <c r="Q34" s="253"/>
      <c r="R34" s="253"/>
      <c r="S34" s="253">
        <v>981602</v>
      </c>
      <c r="T34" s="253"/>
      <c r="U34" s="253"/>
      <c r="V34" s="253"/>
      <c r="W34" s="253"/>
      <c r="X34" s="49"/>
      <c r="Y34" s="49"/>
      <c r="Z34" s="202" t="b">
        <f t="shared" si="4"/>
        <v>1</v>
      </c>
      <c r="AA34" s="203">
        <f t="shared" si="5"/>
        <v>0.55000000000000004</v>
      </c>
      <c r="AB34" s="204" t="b">
        <f t="shared" si="6"/>
        <v>1</v>
      </c>
      <c r="AC34" s="204" t="b">
        <f t="shared" si="7"/>
        <v>1</v>
      </c>
    </row>
    <row r="35" spans="1:29" s="205" customFormat="1" ht="30" customHeight="1">
      <c r="A35" s="49">
        <v>33</v>
      </c>
      <c r="B35" s="255" t="s">
        <v>130</v>
      </c>
      <c r="C35" s="247" t="s">
        <v>83</v>
      </c>
      <c r="D35" s="49" t="s">
        <v>51</v>
      </c>
      <c r="E35" s="248" t="s">
        <v>92</v>
      </c>
      <c r="F35" s="249" t="s">
        <v>162</v>
      </c>
      <c r="G35" s="250" t="s">
        <v>169</v>
      </c>
      <c r="H35" s="248">
        <v>3.26</v>
      </c>
      <c r="I35" s="53" t="s">
        <v>622</v>
      </c>
      <c r="J35" s="251">
        <f>K35+L35</f>
        <v>2734466.83</v>
      </c>
      <c r="K35" s="252">
        <v>1640680.09</v>
      </c>
      <c r="L35" s="253">
        <v>1093786.74</v>
      </c>
      <c r="M35" s="55">
        <v>0.6</v>
      </c>
      <c r="N35" s="252"/>
      <c r="O35" s="252"/>
      <c r="P35" s="49"/>
      <c r="Q35" s="253"/>
      <c r="R35" s="253"/>
      <c r="S35" s="253">
        <v>1640680.09</v>
      </c>
      <c r="T35" s="253"/>
      <c r="U35" s="253"/>
      <c r="V35" s="253"/>
      <c r="W35" s="253"/>
      <c r="X35" s="49"/>
      <c r="Y35" s="49"/>
      <c r="Z35" s="202" t="b">
        <f t="shared" si="4"/>
        <v>1</v>
      </c>
      <c r="AA35" s="203">
        <f t="shared" si="5"/>
        <v>0.6</v>
      </c>
      <c r="AB35" s="204" t="b">
        <f t="shared" si="6"/>
        <v>1</v>
      </c>
      <c r="AC35" s="204" t="b">
        <f t="shared" si="7"/>
        <v>1</v>
      </c>
    </row>
    <row r="36" spans="1:29" s="205" customFormat="1" ht="30" customHeight="1">
      <c r="A36" s="49">
        <v>34</v>
      </c>
      <c r="B36" s="255" t="s">
        <v>131</v>
      </c>
      <c r="C36" s="247" t="s">
        <v>83</v>
      </c>
      <c r="D36" s="49" t="s">
        <v>51</v>
      </c>
      <c r="E36" s="248" t="s">
        <v>92</v>
      </c>
      <c r="F36" s="249" t="s">
        <v>163</v>
      </c>
      <c r="G36" s="250" t="s">
        <v>169</v>
      </c>
      <c r="H36" s="248">
        <v>3.04</v>
      </c>
      <c r="I36" s="53" t="s">
        <v>627</v>
      </c>
      <c r="J36" s="251">
        <f>K36+L36</f>
        <v>3021579.8099999996</v>
      </c>
      <c r="K36" s="252">
        <v>1812947.88</v>
      </c>
      <c r="L36" s="253">
        <v>1208631.93</v>
      </c>
      <c r="M36" s="55">
        <v>0.6</v>
      </c>
      <c r="N36" s="252"/>
      <c r="O36" s="252"/>
      <c r="P36" s="49"/>
      <c r="Q36" s="253"/>
      <c r="R36" s="253"/>
      <c r="S36" s="253">
        <v>1812947.88</v>
      </c>
      <c r="T36" s="253"/>
      <c r="U36" s="253"/>
      <c r="V36" s="253"/>
      <c r="W36" s="253"/>
      <c r="X36" s="49"/>
      <c r="Y36" s="49"/>
      <c r="Z36" s="202" t="b">
        <f t="shared" si="4"/>
        <v>1</v>
      </c>
      <c r="AA36" s="203">
        <f t="shared" si="5"/>
        <v>0.6</v>
      </c>
      <c r="AB36" s="204" t="b">
        <f t="shared" si="6"/>
        <v>1</v>
      </c>
      <c r="AC36" s="204" t="b">
        <f t="shared" si="7"/>
        <v>1</v>
      </c>
    </row>
    <row r="37" spans="1:29" s="205" customFormat="1" ht="30" customHeight="1">
      <c r="A37" s="49">
        <v>35</v>
      </c>
      <c r="B37" s="255" t="s">
        <v>132</v>
      </c>
      <c r="C37" s="247" t="s">
        <v>83</v>
      </c>
      <c r="D37" s="49" t="s">
        <v>88</v>
      </c>
      <c r="E37" s="248" t="s">
        <v>89</v>
      </c>
      <c r="F37" s="249" t="s">
        <v>164</v>
      </c>
      <c r="G37" s="250" t="s">
        <v>169</v>
      </c>
      <c r="H37" s="248">
        <v>1.6879999999999999</v>
      </c>
      <c r="I37" s="53" t="s">
        <v>185</v>
      </c>
      <c r="J37" s="251">
        <v>5000000</v>
      </c>
      <c r="K37" s="252">
        <v>2750000</v>
      </c>
      <c r="L37" s="253">
        <f t="shared" si="8"/>
        <v>2250000</v>
      </c>
      <c r="M37" s="55">
        <v>0.55000000000000004</v>
      </c>
      <c r="N37" s="252"/>
      <c r="O37" s="252"/>
      <c r="P37" s="49"/>
      <c r="Q37" s="253"/>
      <c r="R37" s="253"/>
      <c r="S37" s="253">
        <v>2750000</v>
      </c>
      <c r="T37" s="253"/>
      <c r="U37" s="253"/>
      <c r="V37" s="253"/>
      <c r="W37" s="253"/>
      <c r="X37" s="49"/>
      <c r="Y37" s="49"/>
      <c r="Z37" s="202" t="b">
        <f t="shared" si="4"/>
        <v>1</v>
      </c>
      <c r="AA37" s="203">
        <f t="shared" si="5"/>
        <v>0.55000000000000004</v>
      </c>
      <c r="AB37" s="204" t="b">
        <f t="shared" si="6"/>
        <v>1</v>
      </c>
      <c r="AC37" s="204" t="b">
        <f t="shared" si="7"/>
        <v>1</v>
      </c>
    </row>
    <row r="38" spans="1:29" s="205" customFormat="1" ht="42" customHeight="1">
      <c r="A38" s="49">
        <v>36</v>
      </c>
      <c r="B38" s="255" t="s">
        <v>133</v>
      </c>
      <c r="C38" s="247" t="s">
        <v>83</v>
      </c>
      <c r="D38" s="49" t="s">
        <v>105</v>
      </c>
      <c r="E38" s="248" t="s">
        <v>106</v>
      </c>
      <c r="F38" s="249" t="s">
        <v>165</v>
      </c>
      <c r="G38" s="250" t="s">
        <v>50</v>
      </c>
      <c r="H38" s="248">
        <v>0.88100000000000001</v>
      </c>
      <c r="I38" s="53" t="s">
        <v>626</v>
      </c>
      <c r="J38" s="251">
        <v>6722244.0199999996</v>
      </c>
      <c r="K38" s="252">
        <v>3673917.6</v>
      </c>
      <c r="L38" s="253">
        <f t="shared" si="8"/>
        <v>3048326.4199999995</v>
      </c>
      <c r="M38" s="55">
        <v>0.6</v>
      </c>
      <c r="N38" s="252"/>
      <c r="O38" s="252"/>
      <c r="P38" s="49"/>
      <c r="Q38" s="253"/>
      <c r="R38" s="253"/>
      <c r="S38" s="253">
        <v>3673917.6</v>
      </c>
      <c r="T38" s="253"/>
      <c r="U38" s="253"/>
      <c r="V38" s="253"/>
      <c r="W38" s="253"/>
      <c r="X38" s="49"/>
      <c r="Y38" s="49"/>
      <c r="Z38" s="202" t="b">
        <f t="shared" si="4"/>
        <v>1</v>
      </c>
      <c r="AA38" s="203">
        <f t="shared" si="5"/>
        <v>0.54649999999999999</v>
      </c>
      <c r="AB38" s="204" t="b">
        <f t="shared" si="6"/>
        <v>0</v>
      </c>
      <c r="AC38" s="204" t="b">
        <f t="shared" si="7"/>
        <v>1</v>
      </c>
    </row>
    <row r="39" spans="1:29" s="205" customFormat="1" ht="30" customHeight="1">
      <c r="A39" s="49">
        <v>37</v>
      </c>
      <c r="B39" s="255" t="s">
        <v>134</v>
      </c>
      <c r="C39" s="247" t="s">
        <v>83</v>
      </c>
      <c r="D39" s="49" t="s">
        <v>96</v>
      </c>
      <c r="E39" s="248" t="s">
        <v>97</v>
      </c>
      <c r="F39" s="249" t="s">
        <v>166</v>
      </c>
      <c r="G39" s="250" t="s">
        <v>48</v>
      </c>
      <c r="H39" s="248">
        <v>0.25600000000000001</v>
      </c>
      <c r="I39" s="53" t="s">
        <v>186</v>
      </c>
      <c r="J39" s="251">
        <v>1295283.5</v>
      </c>
      <c r="K39" s="252">
        <v>677055.5</v>
      </c>
      <c r="L39" s="253">
        <v>618228</v>
      </c>
      <c r="M39" s="55">
        <v>0.55000000000000004</v>
      </c>
      <c r="N39" s="252"/>
      <c r="O39" s="252"/>
      <c r="P39" s="49"/>
      <c r="Q39" s="253"/>
      <c r="R39" s="253"/>
      <c r="S39" s="253">
        <v>677055.5</v>
      </c>
      <c r="T39" s="253"/>
      <c r="U39" s="253"/>
      <c r="V39" s="253"/>
      <c r="W39" s="253"/>
      <c r="X39" s="49"/>
      <c r="Y39" s="49"/>
      <c r="Z39" s="202" t="b">
        <f t="shared" si="4"/>
        <v>1</v>
      </c>
      <c r="AA39" s="203">
        <f t="shared" si="5"/>
        <v>0.52270000000000005</v>
      </c>
      <c r="AB39" s="204" t="b">
        <f t="shared" si="6"/>
        <v>0</v>
      </c>
      <c r="AC39" s="204" t="b">
        <f t="shared" si="7"/>
        <v>1</v>
      </c>
    </row>
    <row r="40" spans="1:29" s="226" customFormat="1" ht="60" customHeight="1">
      <c r="A40" s="49">
        <v>38</v>
      </c>
      <c r="B40" s="255" t="s">
        <v>135</v>
      </c>
      <c r="C40" s="247"/>
      <c r="D40" s="256" t="s">
        <v>601</v>
      </c>
      <c r="E40" s="248">
        <v>2405</v>
      </c>
      <c r="F40" s="249" t="s">
        <v>167</v>
      </c>
      <c r="G40" s="250"/>
      <c r="H40" s="248"/>
      <c r="I40" s="53"/>
      <c r="J40" s="251"/>
      <c r="K40" s="252"/>
      <c r="L40" s="253"/>
      <c r="M40" s="55"/>
      <c r="N40" s="252"/>
      <c r="O40" s="252"/>
      <c r="P40" s="49"/>
      <c r="Q40" s="253"/>
      <c r="R40" s="253"/>
      <c r="S40" s="253"/>
      <c r="T40" s="253"/>
      <c r="U40" s="253"/>
      <c r="V40" s="253"/>
      <c r="W40" s="253"/>
      <c r="X40" s="49"/>
      <c r="Y40" s="49"/>
      <c r="Z40" s="202" t="b">
        <f t="shared" si="4"/>
        <v>1</v>
      </c>
      <c r="AA40" s="203" t="e">
        <f t="shared" si="5"/>
        <v>#DIV/0!</v>
      </c>
      <c r="AB40" s="204" t="e">
        <f t="shared" si="6"/>
        <v>#DIV/0!</v>
      </c>
      <c r="AC40" s="204" t="b">
        <f t="shared" si="7"/>
        <v>1</v>
      </c>
    </row>
    <row r="41" spans="1:29" s="205" customFormat="1" ht="57" customHeight="1">
      <c r="A41" s="49">
        <v>39</v>
      </c>
      <c r="B41" s="255" t="s">
        <v>602</v>
      </c>
      <c r="C41" s="247" t="s">
        <v>83</v>
      </c>
      <c r="D41" s="49" t="s">
        <v>136</v>
      </c>
      <c r="E41" s="51">
        <v>2474011</v>
      </c>
      <c r="F41" s="249" t="s">
        <v>168</v>
      </c>
      <c r="G41" s="250" t="s">
        <v>169</v>
      </c>
      <c r="H41" s="248">
        <v>0.54600000000000004</v>
      </c>
      <c r="I41" s="53" t="s">
        <v>181</v>
      </c>
      <c r="J41" s="265">
        <v>491735.11</v>
      </c>
      <c r="K41" s="252">
        <f>S41</f>
        <v>393388.08</v>
      </c>
      <c r="L41" s="253">
        <f>J41-K41</f>
        <v>98347.02999999997</v>
      </c>
      <c r="M41" s="55">
        <v>0.8</v>
      </c>
      <c r="N41" s="252"/>
      <c r="O41" s="252"/>
      <c r="P41" s="49"/>
      <c r="Q41" s="253"/>
      <c r="R41" s="253"/>
      <c r="S41" s="253">
        <v>393388.08</v>
      </c>
      <c r="T41" s="253"/>
      <c r="U41" s="253"/>
      <c r="V41" s="253"/>
      <c r="W41" s="253"/>
      <c r="X41" s="49"/>
      <c r="Y41" s="49"/>
      <c r="Z41" s="202" t="b">
        <f t="shared" ref="Z41:Z45" si="13">K41=SUM(N41:Y41)</f>
        <v>1</v>
      </c>
      <c r="AA41" s="203">
        <f t="shared" ref="AA41:AA44" si="14">ROUND(K41/J41,4)</f>
        <v>0.8</v>
      </c>
      <c r="AB41" s="204" t="b">
        <f t="shared" ref="AB41" si="15">AA41=M41</f>
        <v>1</v>
      </c>
      <c r="AC41" s="204" t="b">
        <f t="shared" ref="AC41:AC44" si="16">J41=K41+L41</f>
        <v>1</v>
      </c>
    </row>
    <row r="42" spans="1:29" ht="20.100000000000001" customHeight="1">
      <c r="A42" s="334" t="s">
        <v>42</v>
      </c>
      <c r="B42" s="335"/>
      <c r="C42" s="335"/>
      <c r="D42" s="335"/>
      <c r="E42" s="335"/>
      <c r="F42" s="335"/>
      <c r="G42" s="336"/>
      <c r="H42" s="257">
        <f>SUM(H3:H41)</f>
        <v>62.544000000000011</v>
      </c>
      <c r="I42" s="258" t="s">
        <v>14</v>
      </c>
      <c r="J42" s="69">
        <f>SUM(J3:J41)</f>
        <v>397073753.34999996</v>
      </c>
      <c r="K42" s="69">
        <f>SUM(K3:K41)</f>
        <v>205478185.07999998</v>
      </c>
      <c r="L42" s="69">
        <f>SUM(L3:L41)</f>
        <v>191595568.27000004</v>
      </c>
      <c r="M42" s="259" t="s">
        <v>14</v>
      </c>
      <c r="N42" s="69">
        <f t="shared" ref="N42:Y42" si="17">SUM(N3:N41)</f>
        <v>0</v>
      </c>
      <c r="O42" s="69">
        <f t="shared" si="17"/>
        <v>0</v>
      </c>
      <c r="P42" s="260">
        <f t="shared" si="17"/>
        <v>0</v>
      </c>
      <c r="Q42" s="260">
        <f t="shared" si="17"/>
        <v>8835060.5500000007</v>
      </c>
      <c r="R42" s="260">
        <f t="shared" si="17"/>
        <v>30143168.990000002</v>
      </c>
      <c r="S42" s="260">
        <f t="shared" si="17"/>
        <v>100012806.44999999</v>
      </c>
      <c r="T42" s="260">
        <f t="shared" si="17"/>
        <v>30210699.150000002</v>
      </c>
      <c r="U42" s="260">
        <f t="shared" si="17"/>
        <v>31721479.93999999</v>
      </c>
      <c r="V42" s="260">
        <f t="shared" si="17"/>
        <v>4554970</v>
      </c>
      <c r="W42" s="260">
        <f t="shared" si="17"/>
        <v>0</v>
      </c>
      <c r="X42" s="260">
        <f t="shared" si="17"/>
        <v>0</v>
      </c>
      <c r="Y42" s="260">
        <f t="shared" si="17"/>
        <v>0</v>
      </c>
      <c r="Z42" s="196" t="b">
        <f t="shared" si="13"/>
        <v>1</v>
      </c>
      <c r="AA42" s="206">
        <f t="shared" si="14"/>
        <v>0.51749999999999996</v>
      </c>
      <c r="AB42" s="207" t="s">
        <v>14</v>
      </c>
      <c r="AC42" s="207" t="b">
        <f t="shared" si="16"/>
        <v>1</v>
      </c>
    </row>
    <row r="43" spans="1:29" ht="20.100000000000001" customHeight="1">
      <c r="A43" s="331" t="s">
        <v>35</v>
      </c>
      <c r="B43" s="332"/>
      <c r="C43" s="332"/>
      <c r="D43" s="332"/>
      <c r="E43" s="332"/>
      <c r="F43" s="332"/>
      <c r="G43" s="333"/>
      <c r="H43" s="261">
        <f>SUMIF($C$3:$C$41,"K",H3:H41)</f>
        <v>22.49</v>
      </c>
      <c r="I43" s="262" t="s">
        <v>14</v>
      </c>
      <c r="J43" s="74">
        <f>SUMIF($C$3:$C$41,"K",J3:J41)</f>
        <v>155972388.50999999</v>
      </c>
      <c r="K43" s="74">
        <f>SUMIF($C$3:$C$41,"K",K3:K41)</f>
        <v>78612656.799999997</v>
      </c>
      <c r="L43" s="74">
        <f>SUMIF($C$3:$C$41,"K",L3:L41)</f>
        <v>77359731.709999993</v>
      </c>
      <c r="M43" s="263" t="s">
        <v>14</v>
      </c>
      <c r="N43" s="74">
        <f t="shared" ref="N43:Y43" si="18">SUMIF($C$3:$C$41,"K",N3:N41)</f>
        <v>0</v>
      </c>
      <c r="O43" s="74">
        <f t="shared" si="18"/>
        <v>0</v>
      </c>
      <c r="P43" s="264">
        <f t="shared" si="18"/>
        <v>0</v>
      </c>
      <c r="Q43" s="264">
        <f t="shared" si="18"/>
        <v>8835060.5500000007</v>
      </c>
      <c r="R43" s="264">
        <f t="shared" si="18"/>
        <v>30143168.990000002</v>
      </c>
      <c r="S43" s="264">
        <f t="shared" si="18"/>
        <v>33604518.259999998</v>
      </c>
      <c r="T43" s="264">
        <f t="shared" si="18"/>
        <v>6029909</v>
      </c>
      <c r="U43" s="264">
        <f t="shared" si="18"/>
        <v>0</v>
      </c>
      <c r="V43" s="264">
        <f t="shared" si="18"/>
        <v>0</v>
      </c>
      <c r="W43" s="264">
        <f t="shared" si="18"/>
        <v>0</v>
      </c>
      <c r="X43" s="264">
        <f t="shared" si="18"/>
        <v>0</v>
      </c>
      <c r="Y43" s="264">
        <f t="shared" si="18"/>
        <v>0</v>
      </c>
      <c r="Z43" s="196" t="b">
        <f t="shared" si="13"/>
        <v>1</v>
      </c>
      <c r="AA43" s="206">
        <f t="shared" ref="AA43" si="19">ROUND(K43/J43,4)</f>
        <v>0.504</v>
      </c>
      <c r="AB43" s="207" t="s">
        <v>14</v>
      </c>
      <c r="AC43" s="207" t="b">
        <f t="shared" ref="AC43" si="20">J43=K43+L43</f>
        <v>1</v>
      </c>
    </row>
    <row r="44" spans="1:29" ht="20.100000000000001" customHeight="1">
      <c r="A44" s="334" t="s">
        <v>36</v>
      </c>
      <c r="B44" s="335"/>
      <c r="C44" s="335"/>
      <c r="D44" s="335"/>
      <c r="E44" s="335"/>
      <c r="F44" s="335"/>
      <c r="G44" s="336"/>
      <c r="H44" s="257">
        <f>SUMIF($C$3:$C$41,"N",H3:H41)</f>
        <v>21.401</v>
      </c>
      <c r="I44" s="258" t="s">
        <v>14</v>
      </c>
      <c r="J44" s="69">
        <f>SUMIF($C$3:$C$41,"N",J3:J41)</f>
        <v>66099624.600000009</v>
      </c>
      <c r="K44" s="69">
        <f>SUMIF($C$3:$C$41,"N",K3:K41)</f>
        <v>40006158.409999996</v>
      </c>
      <c r="L44" s="69">
        <f>SUMIF($C$3:$C$41,"N",L3:L41)</f>
        <v>26093466.189999998</v>
      </c>
      <c r="M44" s="259" t="s">
        <v>14</v>
      </c>
      <c r="N44" s="69">
        <f t="shared" ref="N44:Y44" si="21">SUMIF($C$3:$C$41,"N",N3:N41)</f>
        <v>0</v>
      </c>
      <c r="O44" s="69">
        <f t="shared" si="21"/>
        <v>0</v>
      </c>
      <c r="P44" s="260">
        <f t="shared" si="21"/>
        <v>0</v>
      </c>
      <c r="Q44" s="260">
        <f t="shared" si="21"/>
        <v>0</v>
      </c>
      <c r="R44" s="260">
        <f t="shared" si="21"/>
        <v>0</v>
      </c>
      <c r="S44" s="260">
        <f t="shared" si="21"/>
        <v>40006158.409999996</v>
      </c>
      <c r="T44" s="260">
        <f t="shared" si="21"/>
        <v>0</v>
      </c>
      <c r="U44" s="260">
        <f t="shared" si="21"/>
        <v>0</v>
      </c>
      <c r="V44" s="260">
        <f t="shared" si="21"/>
        <v>0</v>
      </c>
      <c r="W44" s="260">
        <f t="shared" si="21"/>
        <v>0</v>
      </c>
      <c r="X44" s="260">
        <f t="shared" si="21"/>
        <v>0</v>
      </c>
      <c r="Y44" s="260">
        <f t="shared" si="21"/>
        <v>0</v>
      </c>
      <c r="Z44" s="196" t="b">
        <f t="shared" si="13"/>
        <v>1</v>
      </c>
      <c r="AA44" s="206">
        <f t="shared" si="14"/>
        <v>0.60519999999999996</v>
      </c>
      <c r="AB44" s="207" t="s">
        <v>14</v>
      </c>
      <c r="AC44" s="207" t="b">
        <f t="shared" si="16"/>
        <v>1</v>
      </c>
    </row>
    <row r="45" spans="1:29" ht="20.100000000000001" customHeight="1">
      <c r="A45" s="331" t="s">
        <v>37</v>
      </c>
      <c r="B45" s="332"/>
      <c r="C45" s="332"/>
      <c r="D45" s="332"/>
      <c r="E45" s="332"/>
      <c r="F45" s="332"/>
      <c r="G45" s="333"/>
      <c r="H45" s="261">
        <f>SUMIF($C$3:$C$41,"W",H3:H41)</f>
        <v>18.652999999999999</v>
      </c>
      <c r="I45" s="262" t="s">
        <v>14</v>
      </c>
      <c r="J45" s="74">
        <f>SUMIF($C$3:$C$41,"W",J3:J41)</f>
        <v>175001740.24000001</v>
      </c>
      <c r="K45" s="74">
        <f>SUMIF($C$3:$C$41,"W",K3:K41)</f>
        <v>86859369.869999975</v>
      </c>
      <c r="L45" s="74">
        <f>SUMIF($C$3:$C$41,"W",L3:L41)</f>
        <v>88142370.370000005</v>
      </c>
      <c r="M45" s="263" t="s">
        <v>14</v>
      </c>
      <c r="N45" s="74">
        <f t="shared" ref="N45:Y45" si="22">SUMIF($C$3:$C$41,"W",N3:N41)</f>
        <v>0</v>
      </c>
      <c r="O45" s="74">
        <f t="shared" si="22"/>
        <v>0</v>
      </c>
      <c r="P45" s="264">
        <f t="shared" si="22"/>
        <v>0</v>
      </c>
      <c r="Q45" s="264">
        <f t="shared" si="22"/>
        <v>0</v>
      </c>
      <c r="R45" s="264">
        <f t="shared" si="22"/>
        <v>0</v>
      </c>
      <c r="S45" s="264">
        <f t="shared" si="22"/>
        <v>26402129.780000001</v>
      </c>
      <c r="T45" s="264">
        <f t="shared" si="22"/>
        <v>24180790.150000002</v>
      </c>
      <c r="U45" s="264">
        <f t="shared" si="22"/>
        <v>31721479.93999999</v>
      </c>
      <c r="V45" s="264">
        <f t="shared" si="22"/>
        <v>4554970</v>
      </c>
      <c r="W45" s="264">
        <f t="shared" si="22"/>
        <v>0</v>
      </c>
      <c r="X45" s="264">
        <f t="shared" si="22"/>
        <v>0</v>
      </c>
      <c r="Y45" s="264">
        <f t="shared" si="22"/>
        <v>0</v>
      </c>
      <c r="Z45" s="196" t="b">
        <f t="shared" si="13"/>
        <v>1</v>
      </c>
      <c r="AA45" s="206">
        <f t="shared" ref="AA45" si="23">ROUND(K45/J45,4)</f>
        <v>0.49630000000000002</v>
      </c>
      <c r="AB45" s="207" t="s">
        <v>14</v>
      </c>
      <c r="AC45" s="207" t="b">
        <f t="shared" ref="AC45" si="24">J45=K45+L45</f>
        <v>1</v>
      </c>
    </row>
    <row r="46" spans="1:29">
      <c r="A46" s="208"/>
      <c r="B46" s="208"/>
      <c r="C46" s="208"/>
      <c r="D46" s="208"/>
      <c r="E46" s="208"/>
      <c r="F46" s="208"/>
      <c r="G46" s="208"/>
    </row>
    <row r="47" spans="1:29">
      <c r="A47" s="211" t="s">
        <v>22</v>
      </c>
      <c r="B47" s="211"/>
      <c r="C47" s="211"/>
      <c r="D47" s="211"/>
      <c r="E47" s="211"/>
      <c r="F47" s="211"/>
      <c r="G47" s="211"/>
      <c r="H47" s="212"/>
      <c r="I47" s="212"/>
      <c r="J47" s="213"/>
      <c r="K47" s="212"/>
      <c r="L47" s="212"/>
      <c r="N47" s="212"/>
      <c r="O47" s="212"/>
      <c r="P47" s="212"/>
      <c r="Q47" s="212"/>
      <c r="R47" s="212"/>
      <c r="S47" s="212"/>
      <c r="T47" s="212"/>
      <c r="U47" s="212"/>
      <c r="V47" s="212"/>
      <c r="W47" s="212"/>
      <c r="X47" s="212"/>
      <c r="Y47" s="212"/>
      <c r="Z47" s="196"/>
      <c r="AC47" s="207"/>
    </row>
    <row r="48" spans="1:29">
      <c r="A48" s="214" t="s">
        <v>23</v>
      </c>
      <c r="B48" s="214"/>
      <c r="C48" s="214"/>
      <c r="D48" s="214"/>
      <c r="E48" s="214"/>
      <c r="F48" s="214"/>
      <c r="G48" s="214"/>
      <c r="H48" s="212"/>
      <c r="I48" s="212"/>
      <c r="J48" s="215"/>
      <c r="K48" s="212"/>
      <c r="L48" s="212"/>
      <c r="N48" s="212"/>
      <c r="O48" s="212"/>
      <c r="P48" s="212"/>
      <c r="Q48" s="212"/>
      <c r="R48" s="212"/>
      <c r="S48" s="212"/>
      <c r="T48" s="212"/>
      <c r="U48" s="212"/>
      <c r="V48" s="212"/>
      <c r="W48" s="212"/>
      <c r="X48" s="212"/>
      <c r="Y48" s="212"/>
      <c r="Z48" s="196"/>
    </row>
    <row r="49" spans="1:10">
      <c r="A49" s="211" t="s">
        <v>40</v>
      </c>
      <c r="B49" s="208"/>
      <c r="C49" s="208"/>
      <c r="D49" s="208"/>
      <c r="E49" s="208"/>
      <c r="F49" s="208"/>
      <c r="G49" s="208"/>
      <c r="J49" s="216"/>
    </row>
    <row r="50" spans="1:10">
      <c r="A50" s="217" t="s">
        <v>44</v>
      </c>
      <c r="B50" s="217"/>
      <c r="C50" s="217"/>
      <c r="D50" s="217"/>
      <c r="E50" s="217"/>
      <c r="F50" s="217"/>
      <c r="G50" s="217"/>
      <c r="J50" s="216"/>
    </row>
  </sheetData>
  <autoFilter ref="A2:AC45" xr:uid="{00000000-0009-0000-0000-000001000000}"/>
  <mergeCells count="18">
    <mergeCell ref="H1:H2"/>
    <mergeCell ref="I1:I2"/>
    <mergeCell ref="J1:J2"/>
    <mergeCell ref="K1:K2"/>
    <mergeCell ref="N1:Y1"/>
    <mergeCell ref="L1:L2"/>
    <mergeCell ref="M1:M2"/>
    <mergeCell ref="D1:D2"/>
    <mergeCell ref="A45:G45"/>
    <mergeCell ref="A44:G44"/>
    <mergeCell ref="E1:E2"/>
    <mergeCell ref="A42:G42"/>
    <mergeCell ref="A1:A2"/>
    <mergeCell ref="B1:B2"/>
    <mergeCell ref="C1:C2"/>
    <mergeCell ref="F1:F2"/>
    <mergeCell ref="G1:G2"/>
    <mergeCell ref="A43:G43"/>
  </mergeCells>
  <conditionalFormatting sqref="Z41:Z45 AA41:AC43 Z3:AC17 Z19:AC40">
    <cfRule type="cellIs" dxfId="64" priority="17" operator="equal">
      <formula>FALSE</formula>
    </cfRule>
  </conditionalFormatting>
  <conditionalFormatting sqref="Z41:Z45 AA41:AB43 Z3:AB17 Z19:AB40">
    <cfRule type="containsText" dxfId="63" priority="15" operator="containsText" text="fałsz">
      <formula>NOT(ISERROR(SEARCH("fałsz",Z3)))</formula>
    </cfRule>
  </conditionalFormatting>
  <conditionalFormatting sqref="AC47">
    <cfRule type="cellIs" dxfId="62" priority="14" operator="equal">
      <formula>FALSE</formula>
    </cfRule>
  </conditionalFormatting>
  <conditionalFormatting sqref="AC47">
    <cfRule type="cellIs" dxfId="61" priority="13" operator="equal">
      <formula>FALSE</formula>
    </cfRule>
  </conditionalFormatting>
  <conditionalFormatting sqref="AA45:AB45">
    <cfRule type="cellIs" dxfId="60" priority="12" operator="equal">
      <formula>FALSE</formula>
    </cfRule>
  </conditionalFormatting>
  <conditionalFormatting sqref="AA45:AB45">
    <cfRule type="containsText" dxfId="59" priority="10" operator="containsText" text="fałsz">
      <formula>NOT(ISERROR(SEARCH("fałsz",AA45)))</formula>
    </cfRule>
  </conditionalFormatting>
  <conditionalFormatting sqref="AC45">
    <cfRule type="cellIs" dxfId="58" priority="9" operator="equal">
      <formula>FALSE</formula>
    </cfRule>
  </conditionalFormatting>
  <conditionalFormatting sqref="AC45">
    <cfRule type="cellIs" dxfId="57" priority="8" operator="equal">
      <formula>FALSE</formula>
    </cfRule>
  </conditionalFormatting>
  <conditionalFormatting sqref="AA44:AB44">
    <cfRule type="cellIs" dxfId="56" priority="7" operator="equal">
      <formula>FALSE</formula>
    </cfRule>
  </conditionalFormatting>
  <conditionalFormatting sqref="AA44:AB44">
    <cfRule type="containsText" dxfId="55" priority="5" operator="containsText" text="fałsz">
      <formula>NOT(ISERROR(SEARCH("fałsz",AA44)))</formula>
    </cfRule>
  </conditionalFormatting>
  <conditionalFormatting sqref="AC44">
    <cfRule type="cellIs" dxfId="54" priority="4" operator="equal">
      <formula>FALSE</formula>
    </cfRule>
  </conditionalFormatting>
  <conditionalFormatting sqref="AC44">
    <cfRule type="cellIs" dxfId="53" priority="3" operator="equal">
      <formula>FALSE</formula>
    </cfRule>
  </conditionalFormatting>
  <conditionalFormatting sqref="Z18:AC18">
    <cfRule type="cellIs" dxfId="52" priority="2" operator="equal">
      <formula>FALSE</formula>
    </cfRule>
  </conditionalFormatting>
  <conditionalFormatting sqref="Z18:AB18">
    <cfRule type="containsText" dxfId="51" priority="1" operator="containsText" text="fałsz">
      <formula>NOT(ISERROR(SEARCH("fałsz",Z18)))</formula>
    </cfRule>
  </conditionalFormatting>
  <dataValidations count="2">
    <dataValidation type="list" allowBlank="1" showInputMessage="1" showErrorMessage="1" sqref="D13:D16 D19:D41 C3:C41" xr:uid="{00000000-0002-0000-0100-000000000000}">
      <formula1>"N,K,W"</formula1>
    </dataValidation>
    <dataValidation type="list" allowBlank="1" showInputMessage="1" showErrorMessage="1" sqref="G3:G41" xr:uid="{00000000-0002-0000-0100-000001000000}">
      <formula1>"B,P,R"</formula1>
    </dataValidation>
  </dataValidations>
  <pageMargins left="0.23622047244094491" right="0.23622047244094491" top="0.74803149606299213" bottom="0.74803149606299213" header="0.31496062992125984" footer="0.31496062992125984"/>
  <pageSetup paperSize="8" scale="47" fitToHeight="0" orientation="landscape" r:id="rId1"/>
  <headerFooter>
    <oddHeader>&amp;L&amp;K000000Województwo śląskie - zadania powiatowe lista podstawowa</oddHeader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I127"/>
  <sheetViews>
    <sheetView showGridLines="0" zoomScaleNormal="100" zoomScaleSheetLayoutView="85" workbookViewId="0">
      <pane xSplit="6" ySplit="2" topLeftCell="G120" activePane="bottomRight" state="frozen"/>
      <selection pane="topRight" activeCell="G1" sqref="G1"/>
      <selection pane="bottomLeft" activeCell="A3" sqref="A3"/>
      <selection pane="bottomRight" activeCell="U95" sqref="U95"/>
    </sheetView>
  </sheetViews>
  <sheetFormatPr defaultColWidth="9.28515625" defaultRowHeight="15"/>
  <cols>
    <col min="1" max="1" width="8" style="209" customWidth="1"/>
    <col min="2" max="3" width="15.7109375" style="209" customWidth="1"/>
    <col min="4" max="4" width="26.28515625" style="209" customWidth="1"/>
    <col min="5" max="6" width="15.7109375" style="209" customWidth="1"/>
    <col min="7" max="7" width="55" style="209" customWidth="1"/>
    <col min="8" max="11" width="15.7109375" style="209" customWidth="1"/>
    <col min="12" max="12" width="17.28515625" style="209" customWidth="1"/>
    <col min="13" max="13" width="15.7109375" style="209" customWidth="1"/>
    <col min="14" max="14" width="15.7109375" style="210" customWidth="1"/>
    <col min="15" max="26" width="15.7109375" style="209" customWidth="1"/>
    <col min="27" max="29" width="15.7109375" style="34" customWidth="1"/>
    <col min="30" max="30" width="15.7109375" style="4" customWidth="1"/>
    <col min="31" max="16384" width="9.28515625" style="4"/>
  </cols>
  <sheetData>
    <row r="1" spans="1:30" ht="20.100000000000001" customHeight="1">
      <c r="A1" s="337" t="s">
        <v>4</v>
      </c>
      <c r="B1" s="337" t="s">
        <v>5</v>
      </c>
      <c r="C1" s="338" t="s">
        <v>41</v>
      </c>
      <c r="D1" s="329" t="s">
        <v>6</v>
      </c>
      <c r="E1" s="337" t="s">
        <v>30</v>
      </c>
      <c r="F1" s="329" t="s">
        <v>15</v>
      </c>
      <c r="G1" s="337" t="s">
        <v>7</v>
      </c>
      <c r="H1" s="337" t="s">
        <v>24</v>
      </c>
      <c r="I1" s="337" t="s">
        <v>8</v>
      </c>
      <c r="J1" s="337" t="s">
        <v>25</v>
      </c>
      <c r="K1" s="337" t="s">
        <v>9</v>
      </c>
      <c r="L1" s="337" t="s">
        <v>17</v>
      </c>
      <c r="M1" s="329" t="s">
        <v>13</v>
      </c>
      <c r="N1" s="337" t="s">
        <v>11</v>
      </c>
      <c r="O1" s="339" t="s">
        <v>12</v>
      </c>
      <c r="P1" s="342"/>
      <c r="Q1" s="342"/>
      <c r="R1" s="342"/>
      <c r="S1" s="342"/>
      <c r="T1" s="342"/>
      <c r="U1" s="342"/>
      <c r="V1" s="342"/>
      <c r="W1" s="342"/>
      <c r="X1" s="342"/>
      <c r="Y1" s="342"/>
      <c r="Z1" s="342"/>
    </row>
    <row r="2" spans="1:30" ht="20.100000000000001" customHeight="1">
      <c r="A2" s="337"/>
      <c r="B2" s="337"/>
      <c r="C2" s="339"/>
      <c r="D2" s="330"/>
      <c r="E2" s="337"/>
      <c r="F2" s="330"/>
      <c r="G2" s="337"/>
      <c r="H2" s="337"/>
      <c r="I2" s="337"/>
      <c r="J2" s="337"/>
      <c r="K2" s="337"/>
      <c r="L2" s="337"/>
      <c r="M2" s="330"/>
      <c r="N2" s="337"/>
      <c r="O2" s="284">
        <v>2019</v>
      </c>
      <c r="P2" s="284">
        <v>2020</v>
      </c>
      <c r="Q2" s="284">
        <v>2021</v>
      </c>
      <c r="R2" s="284">
        <v>2022</v>
      </c>
      <c r="S2" s="284">
        <v>2023</v>
      </c>
      <c r="T2" s="284">
        <v>2024</v>
      </c>
      <c r="U2" s="284">
        <v>2025</v>
      </c>
      <c r="V2" s="284">
        <v>2026</v>
      </c>
      <c r="W2" s="284">
        <v>2027</v>
      </c>
      <c r="X2" s="284">
        <v>2028</v>
      </c>
      <c r="Y2" s="284">
        <v>2029</v>
      </c>
      <c r="Z2" s="284">
        <v>2030</v>
      </c>
      <c r="AA2" s="196" t="s">
        <v>26</v>
      </c>
      <c r="AB2" s="196" t="s">
        <v>27</v>
      </c>
      <c r="AC2" s="196" t="s">
        <v>28</v>
      </c>
      <c r="AD2" s="38" t="s">
        <v>29</v>
      </c>
    </row>
    <row r="3" spans="1:30" s="201" customFormat="1" ht="30" customHeight="1">
      <c r="A3" s="232">
        <v>1</v>
      </c>
      <c r="B3" s="227" t="s">
        <v>188</v>
      </c>
      <c r="C3" s="233" t="s">
        <v>47</v>
      </c>
      <c r="D3" s="234" t="s">
        <v>189</v>
      </c>
      <c r="E3" s="234" t="s">
        <v>190</v>
      </c>
      <c r="F3" s="227" t="s">
        <v>191</v>
      </c>
      <c r="G3" s="227" t="s">
        <v>192</v>
      </c>
      <c r="H3" s="227" t="s">
        <v>50</v>
      </c>
      <c r="I3" s="235">
        <v>1.7</v>
      </c>
      <c r="J3" s="236" t="s">
        <v>193</v>
      </c>
      <c r="K3" s="237">
        <v>7186326.8499999996</v>
      </c>
      <c r="L3" s="230">
        <v>3952479.76</v>
      </c>
      <c r="M3" s="228">
        <v>3233847.09</v>
      </c>
      <c r="N3" s="231">
        <v>0.55000000000000004</v>
      </c>
      <c r="O3" s="238"/>
      <c r="P3" s="238"/>
      <c r="Q3" s="237">
        <v>1000000</v>
      </c>
      <c r="R3" s="237">
        <v>1500000</v>
      </c>
      <c r="S3" s="237">
        <v>1452479.76</v>
      </c>
      <c r="T3" s="237"/>
      <c r="U3" s="237"/>
      <c r="V3" s="237"/>
      <c r="W3" s="237"/>
      <c r="X3" s="237"/>
      <c r="Y3" s="237"/>
      <c r="Z3" s="237"/>
      <c r="AA3" s="198" t="b">
        <f>L3=SUM(O3:Z3)</f>
        <v>1</v>
      </c>
      <c r="AB3" s="199">
        <f t="shared" ref="AB3:AB121" si="0">ROUND(L3/K3,4)</f>
        <v>0.55000000000000004</v>
      </c>
      <c r="AC3" s="200" t="b">
        <f t="shared" ref="AC3:AC4" si="1">AB3=N3</f>
        <v>1</v>
      </c>
      <c r="AD3" s="200" t="b">
        <f t="shared" ref="AD3:AD121" si="2">K3=L3+M3</f>
        <v>1</v>
      </c>
    </row>
    <row r="4" spans="1:30" s="201" customFormat="1" ht="30" customHeight="1">
      <c r="A4" s="232">
        <v>2</v>
      </c>
      <c r="B4" s="227" t="s">
        <v>194</v>
      </c>
      <c r="C4" s="233" t="s">
        <v>47</v>
      </c>
      <c r="D4" s="234" t="s">
        <v>195</v>
      </c>
      <c r="E4" s="234" t="s">
        <v>196</v>
      </c>
      <c r="F4" s="227" t="s">
        <v>197</v>
      </c>
      <c r="G4" s="227" t="s">
        <v>198</v>
      </c>
      <c r="H4" s="227" t="s">
        <v>50</v>
      </c>
      <c r="I4" s="235">
        <v>0.49299999999999999</v>
      </c>
      <c r="J4" s="236" t="s">
        <v>656</v>
      </c>
      <c r="K4" s="237">
        <v>3910205.93</v>
      </c>
      <c r="L4" s="230">
        <v>1394465.5</v>
      </c>
      <c r="M4" s="237">
        <v>2515740.4300000002</v>
      </c>
      <c r="N4" s="231">
        <v>0.5</v>
      </c>
      <c r="O4" s="238"/>
      <c r="P4" s="238"/>
      <c r="Q4" s="237">
        <v>809929</v>
      </c>
      <c r="R4" s="237">
        <v>584536.5</v>
      </c>
      <c r="S4" s="237"/>
      <c r="T4" s="237"/>
      <c r="U4" s="237"/>
      <c r="V4" s="237"/>
      <c r="W4" s="237"/>
      <c r="X4" s="237"/>
      <c r="Y4" s="237"/>
      <c r="Z4" s="237"/>
      <c r="AA4" s="198" t="b">
        <f t="shared" ref="AA4:AA122" si="3">L4=SUM(O4:Z4)</f>
        <v>1</v>
      </c>
      <c r="AB4" s="199">
        <f t="shared" si="0"/>
        <v>0.35659999999999997</v>
      </c>
      <c r="AC4" s="200" t="b">
        <f t="shared" si="1"/>
        <v>0</v>
      </c>
      <c r="AD4" s="200" t="b">
        <f t="shared" si="2"/>
        <v>1</v>
      </c>
    </row>
    <row r="5" spans="1:30" s="201" customFormat="1" ht="30" customHeight="1">
      <c r="A5" s="232">
        <v>3</v>
      </c>
      <c r="B5" s="227" t="s">
        <v>200</v>
      </c>
      <c r="C5" s="233" t="s">
        <v>47</v>
      </c>
      <c r="D5" s="234" t="s">
        <v>201</v>
      </c>
      <c r="E5" s="234" t="s">
        <v>202</v>
      </c>
      <c r="F5" s="227" t="s">
        <v>197</v>
      </c>
      <c r="G5" s="227" t="s">
        <v>203</v>
      </c>
      <c r="H5" s="227" t="s">
        <v>48</v>
      </c>
      <c r="I5" s="235">
        <v>0.98199999999999998</v>
      </c>
      <c r="J5" s="236" t="s">
        <v>204</v>
      </c>
      <c r="K5" s="237">
        <v>6441389.5</v>
      </c>
      <c r="L5" s="230">
        <v>3220694</v>
      </c>
      <c r="M5" s="237">
        <v>3220695.5</v>
      </c>
      <c r="N5" s="231">
        <v>0.5</v>
      </c>
      <c r="O5" s="238"/>
      <c r="P5" s="238"/>
      <c r="Q5" s="237">
        <v>2388263.5</v>
      </c>
      <c r="R5" s="237">
        <v>832430.5</v>
      </c>
      <c r="S5" s="237"/>
      <c r="T5" s="237"/>
      <c r="U5" s="237"/>
      <c r="V5" s="237"/>
      <c r="W5" s="237"/>
      <c r="X5" s="237"/>
      <c r="Y5" s="237"/>
      <c r="Z5" s="237"/>
      <c r="AA5" s="198" t="b">
        <f t="shared" ref="AA5:AA69" si="4">L5=SUM(O5:Z5)</f>
        <v>1</v>
      </c>
      <c r="AB5" s="199">
        <f t="shared" ref="AB5:AB69" si="5">ROUND(L5/K5,4)</f>
        <v>0.5</v>
      </c>
      <c r="AC5" s="200" t="b">
        <f t="shared" ref="AC5:AC69" si="6">AB5=N5</f>
        <v>1</v>
      </c>
      <c r="AD5" s="200" t="b">
        <f t="shared" ref="AD5:AD69" si="7">K5=L5+M5</f>
        <v>1</v>
      </c>
    </row>
    <row r="6" spans="1:30" s="201" customFormat="1" ht="59.25" customHeight="1">
      <c r="A6" s="232">
        <v>4</v>
      </c>
      <c r="B6" s="227" t="s">
        <v>205</v>
      </c>
      <c r="C6" s="233" t="s">
        <v>47</v>
      </c>
      <c r="D6" s="234" t="s">
        <v>206</v>
      </c>
      <c r="E6" s="234" t="s">
        <v>207</v>
      </c>
      <c r="F6" s="227" t="s">
        <v>208</v>
      </c>
      <c r="G6" s="227" t="s">
        <v>209</v>
      </c>
      <c r="H6" s="227" t="s">
        <v>50</v>
      </c>
      <c r="I6" s="235">
        <v>4.0910000000000002</v>
      </c>
      <c r="J6" s="236" t="s">
        <v>210</v>
      </c>
      <c r="K6" s="237">
        <v>9410119</v>
      </c>
      <c r="L6" s="230">
        <v>4705059.5</v>
      </c>
      <c r="M6" s="237">
        <v>4705059.5</v>
      </c>
      <c r="N6" s="231">
        <v>0.5</v>
      </c>
      <c r="O6" s="238"/>
      <c r="P6" s="238"/>
      <c r="Q6" s="237">
        <v>215937.5</v>
      </c>
      <c r="R6" s="237">
        <v>529840</v>
      </c>
      <c r="S6" s="237">
        <v>827705.5</v>
      </c>
      <c r="T6" s="237">
        <v>1092471</v>
      </c>
      <c r="U6" s="237">
        <v>1011161.5</v>
      </c>
      <c r="V6" s="237">
        <v>1027944</v>
      </c>
      <c r="W6" s="237"/>
      <c r="X6" s="237"/>
      <c r="Y6" s="237"/>
      <c r="Z6" s="237"/>
      <c r="AA6" s="198" t="b">
        <f t="shared" si="4"/>
        <v>1</v>
      </c>
      <c r="AB6" s="199">
        <f t="shared" si="5"/>
        <v>0.5</v>
      </c>
      <c r="AC6" s="200" t="b">
        <f t="shared" si="6"/>
        <v>1</v>
      </c>
      <c r="AD6" s="200" t="b">
        <f t="shared" si="7"/>
        <v>1</v>
      </c>
    </row>
    <row r="7" spans="1:30" s="201" customFormat="1" ht="30" customHeight="1">
      <c r="A7" s="232">
        <v>5</v>
      </c>
      <c r="B7" s="227" t="s">
        <v>228</v>
      </c>
      <c r="C7" s="233" t="s">
        <v>47</v>
      </c>
      <c r="D7" s="234" t="s">
        <v>229</v>
      </c>
      <c r="E7" s="234" t="s">
        <v>230</v>
      </c>
      <c r="F7" s="227" t="s">
        <v>231</v>
      </c>
      <c r="G7" s="227" t="s">
        <v>232</v>
      </c>
      <c r="H7" s="227" t="s">
        <v>50</v>
      </c>
      <c r="I7" s="235">
        <v>1.665</v>
      </c>
      <c r="J7" s="236" t="s">
        <v>233</v>
      </c>
      <c r="K7" s="237">
        <v>6007000</v>
      </c>
      <c r="L7" s="230">
        <v>2466000</v>
      </c>
      <c r="M7" s="237">
        <v>3541000</v>
      </c>
      <c r="N7" s="231">
        <v>0.5</v>
      </c>
      <c r="O7" s="238"/>
      <c r="P7" s="238"/>
      <c r="Q7" s="237"/>
      <c r="R7" s="237">
        <v>72500</v>
      </c>
      <c r="S7" s="237">
        <v>1196750</v>
      </c>
      <c r="T7" s="237">
        <v>1196750</v>
      </c>
      <c r="U7" s="237"/>
      <c r="V7" s="237"/>
      <c r="W7" s="237"/>
      <c r="X7" s="237"/>
      <c r="Y7" s="237"/>
      <c r="Z7" s="237"/>
      <c r="AA7" s="198" t="b">
        <f t="shared" si="4"/>
        <v>1</v>
      </c>
      <c r="AB7" s="199">
        <f t="shared" si="5"/>
        <v>0.41049999999999998</v>
      </c>
      <c r="AC7" s="200" t="b">
        <f t="shared" si="6"/>
        <v>0</v>
      </c>
      <c r="AD7" s="200" t="b">
        <f t="shared" si="7"/>
        <v>1</v>
      </c>
    </row>
    <row r="8" spans="1:30" s="201" customFormat="1" ht="30" customHeight="1">
      <c r="A8" s="232">
        <v>6</v>
      </c>
      <c r="B8" s="227" t="s">
        <v>234</v>
      </c>
      <c r="C8" s="233" t="s">
        <v>47</v>
      </c>
      <c r="D8" s="234" t="s">
        <v>235</v>
      </c>
      <c r="E8" s="234" t="s">
        <v>236</v>
      </c>
      <c r="F8" s="227" t="s">
        <v>215</v>
      </c>
      <c r="G8" s="227" t="s">
        <v>237</v>
      </c>
      <c r="H8" s="227" t="s">
        <v>50</v>
      </c>
      <c r="I8" s="235">
        <v>0.99</v>
      </c>
      <c r="J8" s="236" t="s">
        <v>233</v>
      </c>
      <c r="K8" s="237">
        <v>3271900</v>
      </c>
      <c r="L8" s="230">
        <v>1123695</v>
      </c>
      <c r="M8" s="237">
        <v>2148205</v>
      </c>
      <c r="N8" s="231">
        <v>0.5</v>
      </c>
      <c r="O8" s="238"/>
      <c r="P8" s="238"/>
      <c r="Q8" s="237"/>
      <c r="R8" s="237">
        <v>0</v>
      </c>
      <c r="S8" s="237">
        <v>1123695</v>
      </c>
      <c r="T8" s="237"/>
      <c r="U8" s="237"/>
      <c r="V8" s="237"/>
      <c r="W8" s="237"/>
      <c r="X8" s="237"/>
      <c r="Y8" s="237"/>
      <c r="Z8" s="237"/>
      <c r="AA8" s="198" t="b">
        <f t="shared" si="4"/>
        <v>1</v>
      </c>
      <c r="AB8" s="199">
        <f t="shared" si="5"/>
        <v>0.34339999999999998</v>
      </c>
      <c r="AC8" s="200" t="b">
        <f t="shared" si="6"/>
        <v>0</v>
      </c>
      <c r="AD8" s="200" t="b">
        <f t="shared" si="7"/>
        <v>1</v>
      </c>
    </row>
    <row r="9" spans="1:30" s="201" customFormat="1" ht="30" customHeight="1">
      <c r="A9" s="232">
        <v>7</v>
      </c>
      <c r="B9" s="227" t="s">
        <v>238</v>
      </c>
      <c r="C9" s="233" t="s">
        <v>47</v>
      </c>
      <c r="D9" s="234" t="s">
        <v>118</v>
      </c>
      <c r="E9" s="234" t="s">
        <v>239</v>
      </c>
      <c r="F9" s="227" t="s">
        <v>240</v>
      </c>
      <c r="G9" s="227" t="s">
        <v>241</v>
      </c>
      <c r="H9" s="227" t="s">
        <v>48</v>
      </c>
      <c r="I9" s="235">
        <v>0.61</v>
      </c>
      <c r="J9" s="236" t="s">
        <v>242</v>
      </c>
      <c r="K9" s="237">
        <v>10990136.869999999</v>
      </c>
      <c r="L9" s="230">
        <v>3975878.5</v>
      </c>
      <c r="M9" s="237">
        <v>7014258.3700000001</v>
      </c>
      <c r="N9" s="231">
        <v>0.5</v>
      </c>
      <c r="O9" s="238"/>
      <c r="P9" s="238"/>
      <c r="Q9" s="237"/>
      <c r="R9" s="237">
        <v>1000000</v>
      </c>
      <c r="S9" s="237">
        <v>1500000</v>
      </c>
      <c r="T9" s="237">
        <v>1475878.5</v>
      </c>
      <c r="U9" s="237"/>
      <c r="V9" s="237"/>
      <c r="W9" s="237"/>
      <c r="X9" s="237"/>
      <c r="Y9" s="237"/>
      <c r="Z9" s="237"/>
      <c r="AA9" s="198" t="b">
        <f t="shared" si="4"/>
        <v>1</v>
      </c>
      <c r="AB9" s="199">
        <f t="shared" si="5"/>
        <v>0.36180000000000001</v>
      </c>
      <c r="AC9" s="200" t="b">
        <f t="shared" si="6"/>
        <v>0</v>
      </c>
      <c r="AD9" s="200" t="b">
        <f t="shared" si="7"/>
        <v>1</v>
      </c>
    </row>
    <row r="10" spans="1:30" s="201" customFormat="1" ht="53.25" customHeight="1">
      <c r="A10" s="232">
        <v>8</v>
      </c>
      <c r="B10" s="227" t="s">
        <v>244</v>
      </c>
      <c r="C10" s="233" t="s">
        <v>47</v>
      </c>
      <c r="D10" s="234" t="s">
        <v>245</v>
      </c>
      <c r="E10" s="234" t="s">
        <v>246</v>
      </c>
      <c r="F10" s="227" t="s">
        <v>247</v>
      </c>
      <c r="G10" s="227" t="s">
        <v>248</v>
      </c>
      <c r="H10" s="227" t="s">
        <v>48</v>
      </c>
      <c r="I10" s="235">
        <v>2.165</v>
      </c>
      <c r="J10" s="236" t="s">
        <v>249</v>
      </c>
      <c r="K10" s="237">
        <v>9000000</v>
      </c>
      <c r="L10" s="230">
        <v>3000000</v>
      </c>
      <c r="M10" s="237">
        <v>6000000</v>
      </c>
      <c r="N10" s="231">
        <v>0.5</v>
      </c>
      <c r="O10" s="238"/>
      <c r="P10" s="238"/>
      <c r="Q10" s="237"/>
      <c r="R10" s="237"/>
      <c r="S10" s="237">
        <v>1500000</v>
      </c>
      <c r="T10" s="237">
        <v>1500000</v>
      </c>
      <c r="U10" s="237"/>
      <c r="V10" s="237"/>
      <c r="W10" s="237"/>
      <c r="X10" s="237"/>
      <c r="Y10" s="237"/>
      <c r="Z10" s="237"/>
      <c r="AA10" s="198" t="b">
        <f t="shared" si="4"/>
        <v>1</v>
      </c>
      <c r="AB10" s="199">
        <f t="shared" si="5"/>
        <v>0.33329999999999999</v>
      </c>
      <c r="AC10" s="200" t="b">
        <f t="shared" si="6"/>
        <v>0</v>
      </c>
      <c r="AD10" s="200" t="b">
        <f t="shared" si="7"/>
        <v>1</v>
      </c>
    </row>
    <row r="11" spans="1:30" s="201" customFormat="1" ht="30" customHeight="1">
      <c r="A11" s="232">
        <v>9</v>
      </c>
      <c r="B11" s="227" t="s">
        <v>250</v>
      </c>
      <c r="C11" s="233" t="s">
        <v>47</v>
      </c>
      <c r="D11" s="234" t="s">
        <v>189</v>
      </c>
      <c r="E11" s="234" t="s">
        <v>190</v>
      </c>
      <c r="F11" s="227" t="s">
        <v>191</v>
      </c>
      <c r="G11" s="227" t="s">
        <v>251</v>
      </c>
      <c r="H11" s="227" t="s">
        <v>50</v>
      </c>
      <c r="I11" s="235">
        <v>1.415</v>
      </c>
      <c r="J11" s="236" t="s">
        <v>252</v>
      </c>
      <c r="K11" s="237">
        <f>L11+M11</f>
        <v>8105811</v>
      </c>
      <c r="L11" s="230">
        <f>S11+T11+U11+V11</f>
        <v>4052905.5</v>
      </c>
      <c r="M11" s="237">
        <v>4052905.5</v>
      </c>
      <c r="N11" s="231">
        <v>0.5</v>
      </c>
      <c r="O11" s="238"/>
      <c r="P11" s="238"/>
      <c r="Q11" s="237"/>
      <c r="R11" s="237"/>
      <c r="S11" s="237">
        <v>0</v>
      </c>
      <c r="T11" s="237">
        <v>1500000</v>
      </c>
      <c r="U11" s="237">
        <v>1500000</v>
      </c>
      <c r="V11" s="237">
        <v>1052905.5</v>
      </c>
      <c r="W11" s="237"/>
      <c r="X11" s="237"/>
      <c r="Y11" s="237"/>
      <c r="Z11" s="237"/>
      <c r="AA11" s="198" t="b">
        <f t="shared" si="4"/>
        <v>1</v>
      </c>
      <c r="AB11" s="199">
        <f t="shared" si="5"/>
        <v>0.5</v>
      </c>
      <c r="AC11" s="200" t="b">
        <f t="shared" si="6"/>
        <v>1</v>
      </c>
      <c r="AD11" s="200" t="b">
        <f t="shared" si="7"/>
        <v>1</v>
      </c>
    </row>
    <row r="12" spans="1:30" s="201" customFormat="1" ht="46.5" customHeight="1">
      <c r="A12" s="232">
        <v>10</v>
      </c>
      <c r="B12" s="227" t="s">
        <v>253</v>
      </c>
      <c r="C12" s="233" t="s">
        <v>47</v>
      </c>
      <c r="D12" s="234" t="s">
        <v>112</v>
      </c>
      <c r="E12" s="234" t="s">
        <v>254</v>
      </c>
      <c r="F12" s="227" t="s">
        <v>255</v>
      </c>
      <c r="G12" s="227" t="s">
        <v>256</v>
      </c>
      <c r="H12" s="227" t="s">
        <v>48</v>
      </c>
      <c r="I12" s="235">
        <v>0.76</v>
      </c>
      <c r="J12" s="236" t="s">
        <v>257</v>
      </c>
      <c r="K12" s="237">
        <v>6368770</v>
      </c>
      <c r="L12" s="230">
        <v>2992983</v>
      </c>
      <c r="M12" s="237">
        <v>3375787</v>
      </c>
      <c r="N12" s="231">
        <v>0.5</v>
      </c>
      <c r="O12" s="238"/>
      <c r="P12" s="238"/>
      <c r="Q12" s="237"/>
      <c r="R12" s="237"/>
      <c r="S12" s="237">
        <v>150183</v>
      </c>
      <c r="T12" s="237">
        <v>2842800</v>
      </c>
      <c r="U12" s="237"/>
      <c r="V12" s="237"/>
      <c r="W12" s="237"/>
      <c r="X12" s="237"/>
      <c r="Y12" s="237"/>
      <c r="Z12" s="237"/>
      <c r="AA12" s="198" t="b">
        <f t="shared" si="4"/>
        <v>1</v>
      </c>
      <c r="AB12" s="199">
        <f t="shared" si="5"/>
        <v>0.46989999999999998</v>
      </c>
      <c r="AC12" s="200" t="b">
        <f t="shared" si="6"/>
        <v>0</v>
      </c>
      <c r="AD12" s="200" t="b">
        <f t="shared" si="7"/>
        <v>1</v>
      </c>
    </row>
    <row r="13" spans="1:30" s="201" customFormat="1" ht="30" customHeight="1">
      <c r="A13" s="232">
        <v>11</v>
      </c>
      <c r="B13" s="227" t="s">
        <v>258</v>
      </c>
      <c r="C13" s="233" t="s">
        <v>47</v>
      </c>
      <c r="D13" s="234" t="s">
        <v>222</v>
      </c>
      <c r="E13" s="234">
        <v>2411011</v>
      </c>
      <c r="F13" s="227" t="s">
        <v>224</v>
      </c>
      <c r="G13" s="227" t="s">
        <v>259</v>
      </c>
      <c r="H13" s="227" t="s">
        <v>48</v>
      </c>
      <c r="I13" s="235">
        <v>0.39500000000000002</v>
      </c>
      <c r="J13" s="236" t="s">
        <v>260</v>
      </c>
      <c r="K13" s="237">
        <v>5260678.46</v>
      </c>
      <c r="L13" s="230">
        <f>S13+T13</f>
        <v>2630339.23</v>
      </c>
      <c r="M13" s="237">
        <f>K13-L13</f>
        <v>2630339.23</v>
      </c>
      <c r="N13" s="231">
        <v>0.5</v>
      </c>
      <c r="O13" s="238"/>
      <c r="P13" s="238"/>
      <c r="Q13" s="237"/>
      <c r="R13" s="237"/>
      <c r="S13" s="237">
        <v>1330194.5</v>
      </c>
      <c r="T13" s="237">
        <v>1300144.73</v>
      </c>
      <c r="U13" s="237"/>
      <c r="V13" s="237"/>
      <c r="W13" s="237"/>
      <c r="X13" s="237"/>
      <c r="Y13" s="237"/>
      <c r="Z13" s="237"/>
      <c r="AA13" s="198" t="b">
        <f t="shared" si="4"/>
        <v>1</v>
      </c>
      <c r="AB13" s="199">
        <f t="shared" si="5"/>
        <v>0.5</v>
      </c>
      <c r="AC13" s="200" t="b">
        <f t="shared" si="6"/>
        <v>1</v>
      </c>
      <c r="AD13" s="200" t="b">
        <f t="shared" si="7"/>
        <v>1</v>
      </c>
    </row>
    <row r="14" spans="1:30" s="201" customFormat="1" ht="30" customHeight="1">
      <c r="A14" s="232">
        <v>12</v>
      </c>
      <c r="B14" s="227" t="s">
        <v>264</v>
      </c>
      <c r="C14" s="233" t="s">
        <v>47</v>
      </c>
      <c r="D14" s="234" t="s">
        <v>265</v>
      </c>
      <c r="E14" s="234" t="s">
        <v>266</v>
      </c>
      <c r="F14" s="227" t="s">
        <v>211</v>
      </c>
      <c r="G14" s="227" t="s">
        <v>267</v>
      </c>
      <c r="H14" s="227" t="s">
        <v>48</v>
      </c>
      <c r="I14" s="235">
        <v>0.42499999999999999</v>
      </c>
      <c r="J14" s="236" t="s">
        <v>113</v>
      </c>
      <c r="K14" s="237">
        <v>1971606.25</v>
      </c>
      <c r="L14" s="230">
        <f>S14+T14</f>
        <v>985803.12</v>
      </c>
      <c r="M14" s="237">
        <f>K14-L14</f>
        <v>985803.13</v>
      </c>
      <c r="N14" s="231">
        <v>0.5</v>
      </c>
      <c r="O14" s="238"/>
      <c r="P14" s="238"/>
      <c r="Q14" s="237"/>
      <c r="R14" s="237"/>
      <c r="S14" s="237">
        <v>5000</v>
      </c>
      <c r="T14" s="237">
        <v>980803.12</v>
      </c>
      <c r="U14" s="237"/>
      <c r="V14" s="237"/>
      <c r="W14" s="237"/>
      <c r="X14" s="237"/>
      <c r="Y14" s="237"/>
      <c r="Z14" s="237"/>
      <c r="AA14" s="198" t="b">
        <f t="shared" si="4"/>
        <v>1</v>
      </c>
      <c r="AB14" s="199">
        <f t="shared" si="5"/>
        <v>0.5</v>
      </c>
      <c r="AC14" s="200" t="b">
        <f t="shared" si="6"/>
        <v>1</v>
      </c>
      <c r="AD14" s="200" t="b">
        <f t="shared" si="7"/>
        <v>1</v>
      </c>
    </row>
    <row r="15" spans="1:30" s="201" customFormat="1" ht="30" customHeight="1">
      <c r="A15" s="232">
        <v>13</v>
      </c>
      <c r="B15" s="227" t="s">
        <v>273</v>
      </c>
      <c r="C15" s="233" t="s">
        <v>47</v>
      </c>
      <c r="D15" s="234" t="s">
        <v>274</v>
      </c>
      <c r="E15" s="234" t="s">
        <v>275</v>
      </c>
      <c r="F15" s="227" t="s">
        <v>213</v>
      </c>
      <c r="G15" s="227" t="s">
        <v>276</v>
      </c>
      <c r="H15" s="227" t="s">
        <v>50</v>
      </c>
      <c r="I15" s="235">
        <v>0.80600000000000005</v>
      </c>
      <c r="J15" s="236" t="s">
        <v>277</v>
      </c>
      <c r="K15" s="237">
        <v>5637986.96</v>
      </c>
      <c r="L15" s="230">
        <v>2818993.48</v>
      </c>
      <c r="M15" s="237">
        <v>2818993.48</v>
      </c>
      <c r="N15" s="231">
        <v>0.5</v>
      </c>
      <c r="O15" s="238"/>
      <c r="P15" s="238"/>
      <c r="Q15" s="237"/>
      <c r="R15" s="237"/>
      <c r="S15" s="237">
        <v>20000</v>
      </c>
      <c r="T15" s="237">
        <v>65165</v>
      </c>
      <c r="U15" s="237">
        <v>1830991</v>
      </c>
      <c r="V15" s="237">
        <v>902837.48</v>
      </c>
      <c r="W15" s="237"/>
      <c r="X15" s="237"/>
      <c r="Y15" s="237"/>
      <c r="Z15" s="237"/>
      <c r="AA15" s="198" t="b">
        <f t="shared" si="4"/>
        <v>1</v>
      </c>
      <c r="AB15" s="199">
        <f t="shared" si="5"/>
        <v>0.5</v>
      </c>
      <c r="AC15" s="200" t="b">
        <f t="shared" si="6"/>
        <v>1</v>
      </c>
      <c r="AD15" s="200" t="b">
        <f t="shared" si="7"/>
        <v>1</v>
      </c>
    </row>
    <row r="16" spans="1:30" s="201" customFormat="1" ht="30" customHeight="1">
      <c r="A16" s="232">
        <v>14</v>
      </c>
      <c r="B16" s="227" t="s">
        <v>278</v>
      </c>
      <c r="C16" s="233" t="s">
        <v>47</v>
      </c>
      <c r="D16" s="234" t="s">
        <v>279</v>
      </c>
      <c r="E16" s="234" t="s">
        <v>280</v>
      </c>
      <c r="F16" s="227" t="s">
        <v>281</v>
      </c>
      <c r="G16" s="227" t="s">
        <v>282</v>
      </c>
      <c r="H16" s="227" t="s">
        <v>50</v>
      </c>
      <c r="I16" s="235">
        <v>1.135</v>
      </c>
      <c r="J16" s="236" t="s">
        <v>283</v>
      </c>
      <c r="K16" s="237">
        <v>3880545.82</v>
      </c>
      <c r="L16" s="230">
        <v>1858130.5</v>
      </c>
      <c r="M16" s="237">
        <v>2022415.32</v>
      </c>
      <c r="N16" s="231">
        <v>0.5</v>
      </c>
      <c r="O16" s="238"/>
      <c r="P16" s="238"/>
      <c r="Q16" s="237"/>
      <c r="R16" s="237"/>
      <c r="S16" s="237">
        <v>929065</v>
      </c>
      <c r="T16" s="237">
        <v>929065.5</v>
      </c>
      <c r="U16" s="237"/>
      <c r="V16" s="237"/>
      <c r="W16" s="237"/>
      <c r="X16" s="237"/>
      <c r="Y16" s="237"/>
      <c r="Z16" s="237"/>
      <c r="AA16" s="198" t="b">
        <f t="shared" si="4"/>
        <v>1</v>
      </c>
      <c r="AB16" s="199">
        <f t="shared" si="5"/>
        <v>0.4788</v>
      </c>
      <c r="AC16" s="200" t="b">
        <f t="shared" si="6"/>
        <v>0</v>
      </c>
      <c r="AD16" s="200" t="b">
        <f t="shared" si="7"/>
        <v>1</v>
      </c>
    </row>
    <row r="17" spans="1:113" s="201" customFormat="1" ht="30" customHeight="1">
      <c r="A17" s="232">
        <v>15</v>
      </c>
      <c r="B17" s="227" t="s">
        <v>285</v>
      </c>
      <c r="C17" s="233" t="s">
        <v>47</v>
      </c>
      <c r="D17" s="234" t="s">
        <v>117</v>
      </c>
      <c r="E17" s="234" t="s">
        <v>137</v>
      </c>
      <c r="F17" s="227" t="s">
        <v>212</v>
      </c>
      <c r="G17" s="227" t="s">
        <v>286</v>
      </c>
      <c r="H17" s="227" t="s">
        <v>50</v>
      </c>
      <c r="I17" s="235">
        <v>1.02</v>
      </c>
      <c r="J17" s="236" t="s">
        <v>287</v>
      </c>
      <c r="K17" s="237">
        <v>9198556.2399999984</v>
      </c>
      <c r="L17" s="230">
        <v>4599278.1199999992</v>
      </c>
      <c r="M17" s="237">
        <v>4599278.1199999992</v>
      </c>
      <c r="N17" s="231">
        <v>0.5</v>
      </c>
      <c r="O17" s="238"/>
      <c r="P17" s="238"/>
      <c r="Q17" s="237"/>
      <c r="R17" s="237"/>
      <c r="S17" s="237">
        <v>2000000</v>
      </c>
      <c r="T17" s="237">
        <v>2599278.12</v>
      </c>
      <c r="U17" s="237"/>
      <c r="V17" s="237"/>
      <c r="W17" s="237"/>
      <c r="X17" s="237"/>
      <c r="Y17" s="237"/>
      <c r="Z17" s="237"/>
      <c r="AA17" s="198" t="b">
        <f t="shared" si="4"/>
        <v>1</v>
      </c>
      <c r="AB17" s="199">
        <f t="shared" si="5"/>
        <v>0.5</v>
      </c>
      <c r="AC17" s="200" t="b">
        <f t="shared" si="6"/>
        <v>1</v>
      </c>
      <c r="AD17" s="200" t="b">
        <f t="shared" si="7"/>
        <v>1</v>
      </c>
    </row>
    <row r="18" spans="1:113" s="201" customFormat="1" ht="30" customHeight="1">
      <c r="A18" s="232">
        <v>16</v>
      </c>
      <c r="B18" s="227" t="s">
        <v>288</v>
      </c>
      <c r="C18" s="233" t="s">
        <v>47</v>
      </c>
      <c r="D18" s="234" t="s">
        <v>107</v>
      </c>
      <c r="E18" s="234" t="s">
        <v>138</v>
      </c>
      <c r="F18" s="227" t="s">
        <v>289</v>
      </c>
      <c r="G18" s="227" t="s">
        <v>290</v>
      </c>
      <c r="H18" s="227" t="s">
        <v>48</v>
      </c>
      <c r="I18" s="235">
        <v>0.89300000000000002</v>
      </c>
      <c r="J18" s="236" t="s">
        <v>291</v>
      </c>
      <c r="K18" s="237">
        <v>7668716.3600000003</v>
      </c>
      <c r="L18" s="230">
        <v>3390951</v>
      </c>
      <c r="M18" s="237">
        <v>4277765.3600000003</v>
      </c>
      <c r="N18" s="231">
        <v>0.5</v>
      </c>
      <c r="O18" s="238"/>
      <c r="P18" s="238"/>
      <c r="Q18" s="237"/>
      <c r="R18" s="237"/>
      <c r="S18" s="237">
        <v>1500000</v>
      </c>
      <c r="T18" s="237">
        <v>1890951</v>
      </c>
      <c r="U18" s="237"/>
      <c r="V18" s="237"/>
      <c r="W18" s="237"/>
      <c r="X18" s="237"/>
      <c r="Y18" s="237"/>
      <c r="Z18" s="237"/>
      <c r="AA18" s="198" t="b">
        <f t="shared" si="4"/>
        <v>1</v>
      </c>
      <c r="AB18" s="199">
        <f t="shared" si="5"/>
        <v>0.44219999999999998</v>
      </c>
      <c r="AC18" s="200" t="b">
        <f t="shared" si="6"/>
        <v>0</v>
      </c>
      <c r="AD18" s="200" t="b">
        <f t="shared" si="7"/>
        <v>1</v>
      </c>
    </row>
    <row r="19" spans="1:113" s="201" customFormat="1" ht="30" customHeight="1">
      <c r="A19" s="232">
        <v>17</v>
      </c>
      <c r="B19" s="227" t="s">
        <v>295</v>
      </c>
      <c r="C19" s="233" t="s">
        <v>47</v>
      </c>
      <c r="D19" s="234" t="s">
        <v>201</v>
      </c>
      <c r="E19" s="234" t="s">
        <v>202</v>
      </c>
      <c r="F19" s="227" t="s">
        <v>197</v>
      </c>
      <c r="G19" s="227" t="s">
        <v>296</v>
      </c>
      <c r="H19" s="227" t="s">
        <v>50</v>
      </c>
      <c r="I19" s="235">
        <v>0.33800000000000002</v>
      </c>
      <c r="J19" s="236" t="s">
        <v>287</v>
      </c>
      <c r="K19" s="237">
        <v>4160696.34</v>
      </c>
      <c r="L19" s="230">
        <f>S19+T19</f>
        <v>2080348</v>
      </c>
      <c r="M19" s="237">
        <f>K19-L19</f>
        <v>2080348.3399999999</v>
      </c>
      <c r="N19" s="231">
        <v>0.5</v>
      </c>
      <c r="O19" s="238"/>
      <c r="P19" s="238"/>
      <c r="Q19" s="237"/>
      <c r="R19" s="237"/>
      <c r="S19" s="237">
        <v>1000000</v>
      </c>
      <c r="T19" s="237">
        <v>1080348</v>
      </c>
      <c r="U19" s="237"/>
      <c r="V19" s="237"/>
      <c r="W19" s="237"/>
      <c r="X19" s="237"/>
      <c r="Y19" s="237"/>
      <c r="Z19" s="237"/>
      <c r="AA19" s="198" t="b">
        <f t="shared" si="4"/>
        <v>1</v>
      </c>
      <c r="AB19" s="199">
        <f t="shared" si="5"/>
        <v>0.5</v>
      </c>
      <c r="AC19" s="200" t="b">
        <f t="shared" si="6"/>
        <v>1</v>
      </c>
      <c r="AD19" s="200" t="b">
        <f t="shared" si="7"/>
        <v>1</v>
      </c>
    </row>
    <row r="20" spans="1:113" s="201" customFormat="1" ht="30" customHeight="1">
      <c r="A20" s="232">
        <v>18</v>
      </c>
      <c r="B20" s="227" t="s">
        <v>305</v>
      </c>
      <c r="C20" s="233" t="s">
        <v>47</v>
      </c>
      <c r="D20" s="234" t="s">
        <v>219</v>
      </c>
      <c r="E20" s="234" t="s">
        <v>196</v>
      </c>
      <c r="F20" s="227" t="s">
        <v>197</v>
      </c>
      <c r="G20" s="227" t="s">
        <v>306</v>
      </c>
      <c r="H20" s="227" t="s">
        <v>50</v>
      </c>
      <c r="I20" s="235">
        <v>0.73099999999999998</v>
      </c>
      <c r="J20" s="236" t="s">
        <v>307</v>
      </c>
      <c r="K20" s="237">
        <v>1976656.9</v>
      </c>
      <c r="L20" s="230">
        <v>611456</v>
      </c>
      <c r="M20" s="237">
        <v>1365200.9</v>
      </c>
      <c r="N20" s="231">
        <v>0.5</v>
      </c>
      <c r="O20" s="238"/>
      <c r="P20" s="238"/>
      <c r="Q20" s="237"/>
      <c r="R20" s="237"/>
      <c r="S20" s="237">
        <v>568308</v>
      </c>
      <c r="T20" s="237">
        <v>43148</v>
      </c>
      <c r="U20" s="237"/>
      <c r="V20" s="237"/>
      <c r="W20" s="237"/>
      <c r="X20" s="237"/>
      <c r="Y20" s="237"/>
      <c r="Z20" s="237"/>
      <c r="AA20" s="198" t="b">
        <f t="shared" si="4"/>
        <v>1</v>
      </c>
      <c r="AB20" s="199">
        <f t="shared" si="5"/>
        <v>0.30930000000000002</v>
      </c>
      <c r="AC20" s="200" t="b">
        <f t="shared" si="6"/>
        <v>0</v>
      </c>
      <c r="AD20" s="200" t="b">
        <f t="shared" si="7"/>
        <v>1</v>
      </c>
    </row>
    <row r="21" spans="1:113" s="201" customFormat="1" ht="30" customHeight="1">
      <c r="A21" s="232">
        <v>19</v>
      </c>
      <c r="B21" s="227" t="s">
        <v>308</v>
      </c>
      <c r="C21" s="233" t="s">
        <v>47</v>
      </c>
      <c r="D21" s="234" t="s">
        <v>309</v>
      </c>
      <c r="E21" s="234" t="s">
        <v>310</v>
      </c>
      <c r="F21" s="227" t="s">
        <v>263</v>
      </c>
      <c r="G21" s="227" t="s">
        <v>311</v>
      </c>
      <c r="H21" s="227" t="s">
        <v>48</v>
      </c>
      <c r="I21" s="235">
        <v>1.355</v>
      </c>
      <c r="J21" s="236" t="s">
        <v>312</v>
      </c>
      <c r="K21" s="237">
        <f>L21+M21</f>
        <v>8540880.8499999996</v>
      </c>
      <c r="L21" s="230">
        <v>4270440.42</v>
      </c>
      <c r="M21" s="237">
        <v>4270440.43</v>
      </c>
      <c r="N21" s="231">
        <v>0.5</v>
      </c>
      <c r="O21" s="238"/>
      <c r="P21" s="238"/>
      <c r="Q21" s="237"/>
      <c r="R21" s="237"/>
      <c r="S21" s="237">
        <v>100000</v>
      </c>
      <c r="T21" s="237">
        <v>3431924.5</v>
      </c>
      <c r="U21" s="237">
        <v>738515.92</v>
      </c>
      <c r="V21" s="237"/>
      <c r="W21" s="237"/>
      <c r="X21" s="237"/>
      <c r="Y21" s="237"/>
      <c r="Z21" s="237"/>
      <c r="AA21" s="198" t="b">
        <f t="shared" si="4"/>
        <v>1</v>
      </c>
      <c r="AB21" s="199">
        <f t="shared" si="5"/>
        <v>0.5</v>
      </c>
      <c r="AC21" s="200" t="b">
        <f t="shared" si="6"/>
        <v>1</v>
      </c>
      <c r="AD21" s="200" t="b">
        <f t="shared" si="7"/>
        <v>1</v>
      </c>
    </row>
    <row r="22" spans="1:113" s="201" customFormat="1" ht="42" customHeight="1">
      <c r="A22" s="232">
        <v>20</v>
      </c>
      <c r="B22" s="227" t="s">
        <v>313</v>
      </c>
      <c r="C22" s="233"/>
      <c r="D22" s="234" t="s">
        <v>649</v>
      </c>
      <c r="E22" s="234" t="s">
        <v>314</v>
      </c>
      <c r="F22" s="227" t="s">
        <v>211</v>
      </c>
      <c r="G22" s="227" t="s">
        <v>315</v>
      </c>
      <c r="H22" s="227"/>
      <c r="I22" s="235"/>
      <c r="J22" s="236"/>
      <c r="K22" s="237"/>
      <c r="L22" s="230"/>
      <c r="M22" s="237"/>
      <c r="N22" s="231"/>
      <c r="O22" s="238"/>
      <c r="P22" s="238"/>
      <c r="Q22" s="237"/>
      <c r="R22" s="237"/>
      <c r="S22" s="237"/>
      <c r="T22" s="237"/>
      <c r="U22" s="237"/>
      <c r="V22" s="237"/>
      <c r="W22" s="237"/>
      <c r="X22" s="237"/>
      <c r="Y22" s="237"/>
      <c r="Z22" s="237"/>
      <c r="AA22" s="198" t="b">
        <f t="shared" si="4"/>
        <v>1</v>
      </c>
      <c r="AB22" s="199" t="e">
        <f t="shared" si="5"/>
        <v>#DIV/0!</v>
      </c>
      <c r="AC22" s="200" t="e">
        <f t="shared" si="6"/>
        <v>#DIV/0!</v>
      </c>
      <c r="AD22" s="200" t="b">
        <f t="shared" si="7"/>
        <v>1</v>
      </c>
    </row>
    <row r="23" spans="1:113" s="201" customFormat="1" ht="30" customHeight="1">
      <c r="A23" s="232">
        <v>21</v>
      </c>
      <c r="B23" s="227" t="s">
        <v>318</v>
      </c>
      <c r="C23" s="233" t="s">
        <v>47</v>
      </c>
      <c r="D23" s="234" t="s">
        <v>118</v>
      </c>
      <c r="E23" s="234" t="s">
        <v>239</v>
      </c>
      <c r="F23" s="227" t="s">
        <v>240</v>
      </c>
      <c r="G23" s="227" t="s">
        <v>319</v>
      </c>
      <c r="H23" s="227" t="s">
        <v>50</v>
      </c>
      <c r="I23" s="235">
        <v>0.46700000000000003</v>
      </c>
      <c r="J23" s="236" t="s">
        <v>320</v>
      </c>
      <c r="K23" s="237">
        <f>L23+M23</f>
        <v>7600681.879999999</v>
      </c>
      <c r="L23" s="230">
        <f>S23+T23+U23</f>
        <v>3800340.939999999</v>
      </c>
      <c r="M23" s="237">
        <v>3800340.94</v>
      </c>
      <c r="N23" s="231">
        <v>0.5</v>
      </c>
      <c r="O23" s="238"/>
      <c r="P23" s="238"/>
      <c r="Q23" s="237"/>
      <c r="R23" s="237"/>
      <c r="S23" s="237">
        <v>45000</v>
      </c>
      <c r="T23" s="237">
        <v>2499999.9999999991</v>
      </c>
      <c r="U23" s="237">
        <v>1255340.94</v>
      </c>
      <c r="V23" s="237"/>
      <c r="W23" s="237"/>
      <c r="X23" s="237"/>
      <c r="Y23" s="237"/>
      <c r="Z23" s="237"/>
      <c r="AA23" s="198" t="b">
        <f t="shared" si="4"/>
        <v>1</v>
      </c>
      <c r="AB23" s="199">
        <f t="shared" si="5"/>
        <v>0.5</v>
      </c>
      <c r="AC23" s="200" t="b">
        <f t="shared" si="6"/>
        <v>1</v>
      </c>
      <c r="AD23" s="200" t="b">
        <f t="shared" si="7"/>
        <v>1</v>
      </c>
    </row>
    <row r="24" spans="1:113" s="201" customFormat="1" ht="30" customHeight="1">
      <c r="A24" s="232">
        <v>22</v>
      </c>
      <c r="B24" s="227" t="s">
        <v>613</v>
      </c>
      <c r="C24" s="233" t="s">
        <v>47</v>
      </c>
      <c r="D24" s="234" t="s">
        <v>324</v>
      </c>
      <c r="E24" s="234" t="s">
        <v>325</v>
      </c>
      <c r="F24" s="227" t="s">
        <v>247</v>
      </c>
      <c r="G24" s="227" t="s">
        <v>326</v>
      </c>
      <c r="H24" s="227" t="s">
        <v>48</v>
      </c>
      <c r="I24" s="235">
        <v>0.84</v>
      </c>
      <c r="J24" s="236" t="s">
        <v>604</v>
      </c>
      <c r="K24" s="237">
        <v>2408627.04</v>
      </c>
      <c r="L24" s="230">
        <f>S24+T24</f>
        <v>1204313.52</v>
      </c>
      <c r="M24" s="237">
        <f>K24-L24</f>
        <v>1204313.52</v>
      </c>
      <c r="N24" s="231">
        <v>0.5</v>
      </c>
      <c r="O24" s="238"/>
      <c r="P24" s="238"/>
      <c r="Q24" s="237"/>
      <c r="R24" s="237"/>
      <c r="S24" s="237">
        <v>750000</v>
      </c>
      <c r="T24" s="237">
        <v>454313.52</v>
      </c>
      <c r="U24" s="237"/>
      <c r="V24" s="237"/>
      <c r="W24" s="237"/>
      <c r="X24" s="237"/>
      <c r="Y24" s="237"/>
      <c r="Z24" s="237"/>
      <c r="AA24" s="198" t="b">
        <f t="shared" si="4"/>
        <v>1</v>
      </c>
      <c r="AB24" s="199">
        <f t="shared" si="5"/>
        <v>0.5</v>
      </c>
      <c r="AC24" s="200" t="b">
        <f t="shared" si="6"/>
        <v>1</v>
      </c>
      <c r="AD24" s="200" t="b">
        <f t="shared" si="7"/>
        <v>1</v>
      </c>
    </row>
    <row r="25" spans="1:113" s="201" customFormat="1" ht="30" customHeight="1">
      <c r="A25" s="232">
        <v>23</v>
      </c>
      <c r="B25" s="227" t="s">
        <v>614</v>
      </c>
      <c r="C25" s="233" t="s">
        <v>47</v>
      </c>
      <c r="D25" s="234" t="s">
        <v>216</v>
      </c>
      <c r="E25" s="234" t="s">
        <v>217</v>
      </c>
      <c r="F25" s="227" t="s">
        <v>218</v>
      </c>
      <c r="G25" s="227" t="s">
        <v>327</v>
      </c>
      <c r="H25" s="227" t="s">
        <v>48</v>
      </c>
      <c r="I25" s="235">
        <v>0.94299999999999995</v>
      </c>
      <c r="J25" s="236" t="s">
        <v>328</v>
      </c>
      <c r="K25" s="237">
        <v>3206303.24</v>
      </c>
      <c r="L25" s="230">
        <f>S25+T25</f>
        <v>1603151.62</v>
      </c>
      <c r="M25" s="237">
        <f>K25-L25</f>
        <v>1603151.62</v>
      </c>
      <c r="N25" s="231">
        <v>0.5</v>
      </c>
      <c r="O25" s="238"/>
      <c r="P25" s="238"/>
      <c r="Q25" s="237"/>
      <c r="R25" s="237"/>
      <c r="S25" s="237">
        <v>683000</v>
      </c>
      <c r="T25" s="237">
        <v>920151.62</v>
      </c>
      <c r="U25" s="237"/>
      <c r="V25" s="237"/>
      <c r="W25" s="237"/>
      <c r="X25" s="237"/>
      <c r="Y25" s="237"/>
      <c r="Z25" s="237"/>
      <c r="AA25" s="198" t="b">
        <f t="shared" si="4"/>
        <v>1</v>
      </c>
      <c r="AB25" s="199">
        <f t="shared" si="5"/>
        <v>0.5</v>
      </c>
      <c r="AC25" s="200" t="b">
        <f t="shared" si="6"/>
        <v>1</v>
      </c>
      <c r="AD25" s="200" t="b">
        <f t="shared" si="7"/>
        <v>1</v>
      </c>
    </row>
    <row r="26" spans="1:113" s="280" customFormat="1" ht="41.25" customHeight="1">
      <c r="A26" s="232">
        <v>24</v>
      </c>
      <c r="B26" s="267" t="s">
        <v>615</v>
      </c>
      <c r="C26" s="233"/>
      <c r="D26" s="272" t="s">
        <v>597</v>
      </c>
      <c r="E26" s="273" t="s">
        <v>190</v>
      </c>
      <c r="F26" s="267" t="s">
        <v>191</v>
      </c>
      <c r="G26" s="227" t="s">
        <v>590</v>
      </c>
      <c r="H26" s="272"/>
      <c r="I26" s="274"/>
      <c r="J26" s="275"/>
      <c r="K26" s="276"/>
      <c r="L26" s="277"/>
      <c r="M26" s="278"/>
      <c r="N26" s="279"/>
      <c r="O26" s="230"/>
      <c r="P26" s="230"/>
      <c r="Q26" s="237"/>
      <c r="R26" s="237"/>
      <c r="S26" s="237"/>
      <c r="T26" s="237"/>
      <c r="U26" s="237"/>
      <c r="V26" s="237"/>
      <c r="W26" s="237"/>
      <c r="X26" s="237"/>
      <c r="Y26" s="237"/>
      <c r="Z26" s="237"/>
      <c r="AA26" s="268" t="b">
        <f t="shared" ref="AA26" si="8">L26=SUM(O26:Z26)</f>
        <v>1</v>
      </c>
      <c r="AB26" s="269" t="e">
        <f t="shared" ref="AB26" si="9">ROUND(L26/K26,4)</f>
        <v>#DIV/0!</v>
      </c>
      <c r="AC26" s="270" t="e">
        <f t="shared" ref="AC26" si="10">AB26=N26</f>
        <v>#DIV/0!</v>
      </c>
      <c r="AD26" s="270" t="b">
        <f t="shared" ref="AD26" si="11">K26=L26+M26</f>
        <v>1</v>
      </c>
      <c r="AE26" s="222"/>
      <c r="AF26" s="222"/>
      <c r="AG26" s="222"/>
      <c r="AH26" s="222"/>
      <c r="AI26" s="222"/>
      <c r="AJ26" s="222"/>
      <c r="AK26" s="222"/>
      <c r="AL26" s="222"/>
      <c r="AM26" s="222"/>
      <c r="AN26" s="222"/>
      <c r="AO26" s="222"/>
      <c r="AP26" s="222"/>
      <c r="AQ26" s="222"/>
      <c r="AR26" s="222"/>
      <c r="AS26" s="222"/>
      <c r="AT26" s="222"/>
      <c r="AU26" s="222"/>
      <c r="AV26" s="222"/>
      <c r="AW26" s="222"/>
      <c r="AX26" s="222"/>
      <c r="AY26" s="222"/>
      <c r="AZ26" s="222"/>
      <c r="BA26" s="222"/>
      <c r="BB26" s="222"/>
      <c r="BC26" s="222"/>
      <c r="BD26" s="222"/>
      <c r="BE26" s="222"/>
      <c r="BF26" s="222"/>
      <c r="BG26" s="222"/>
      <c r="BH26" s="222"/>
      <c r="BI26" s="222"/>
      <c r="BJ26" s="222"/>
      <c r="BK26" s="222"/>
      <c r="BL26" s="222"/>
      <c r="BM26" s="222"/>
      <c r="BN26" s="222"/>
      <c r="BO26" s="222"/>
      <c r="BP26" s="222"/>
      <c r="BQ26" s="222"/>
      <c r="BR26" s="222"/>
      <c r="BS26" s="222"/>
      <c r="BT26" s="222"/>
      <c r="BU26" s="222"/>
      <c r="BV26" s="222"/>
      <c r="BW26" s="222"/>
      <c r="BX26" s="222"/>
      <c r="BY26" s="222"/>
      <c r="BZ26" s="222"/>
      <c r="CA26" s="222"/>
      <c r="CB26" s="222"/>
      <c r="CC26" s="222"/>
      <c r="CD26" s="222"/>
      <c r="CE26" s="222"/>
      <c r="CF26" s="222"/>
      <c r="CG26" s="222"/>
      <c r="CH26" s="222"/>
      <c r="CI26" s="222"/>
      <c r="CJ26" s="222"/>
      <c r="CK26" s="222"/>
      <c r="CL26" s="222"/>
      <c r="CM26" s="222"/>
      <c r="CN26" s="222"/>
      <c r="CO26" s="222"/>
      <c r="CP26" s="222"/>
      <c r="CQ26" s="222"/>
      <c r="CR26" s="222"/>
      <c r="CS26" s="222"/>
      <c r="CT26" s="222"/>
      <c r="CU26" s="222"/>
      <c r="CV26" s="222"/>
      <c r="CW26" s="222"/>
      <c r="CX26" s="222"/>
      <c r="CY26" s="222"/>
      <c r="CZ26" s="222"/>
      <c r="DA26" s="222"/>
      <c r="DB26" s="222"/>
      <c r="DC26" s="222"/>
      <c r="DD26" s="222"/>
      <c r="DE26" s="222"/>
      <c r="DF26" s="222"/>
      <c r="DG26" s="222"/>
      <c r="DH26" s="222"/>
      <c r="DI26" s="222"/>
    </row>
    <row r="27" spans="1:113" s="271" customFormat="1" ht="36">
      <c r="A27" s="232">
        <v>25</v>
      </c>
      <c r="B27" s="267" t="s">
        <v>616</v>
      </c>
      <c r="C27" s="267"/>
      <c r="D27" s="272" t="s">
        <v>609</v>
      </c>
      <c r="E27" s="273" t="s">
        <v>606</v>
      </c>
      <c r="F27" s="286" t="s">
        <v>221</v>
      </c>
      <c r="G27" s="272" t="s">
        <v>607</v>
      </c>
      <c r="H27" s="272"/>
      <c r="I27" s="287"/>
      <c r="J27" s="288"/>
      <c r="K27" s="289"/>
      <c r="L27" s="290"/>
      <c r="M27" s="291"/>
      <c r="N27" s="292"/>
      <c r="O27" s="293"/>
      <c r="P27" s="293"/>
      <c r="Q27" s="294"/>
      <c r="R27" s="294"/>
      <c r="S27" s="294"/>
      <c r="T27" s="294"/>
      <c r="U27" s="294"/>
      <c r="V27" s="294"/>
      <c r="W27" s="294"/>
      <c r="X27" s="295"/>
      <c r="Y27" s="267"/>
      <c r="Z27" s="296"/>
      <c r="AA27" s="268" t="b">
        <f t="shared" ref="AA27" si="12">L27=SUM(O27:Z27)</f>
        <v>1</v>
      </c>
      <c r="AB27" s="269" t="e">
        <f t="shared" ref="AB27" si="13">ROUND(L27/K27,4)</f>
        <v>#DIV/0!</v>
      </c>
      <c r="AC27" s="270" t="e">
        <f t="shared" ref="AC27" si="14">AB27=N27</f>
        <v>#DIV/0!</v>
      </c>
      <c r="AD27" s="270" t="b">
        <f t="shared" ref="AD27" si="15">K27=L27+M27</f>
        <v>1</v>
      </c>
    </row>
    <row r="28" spans="1:113" ht="37.5" customHeight="1">
      <c r="A28" s="232">
        <v>26</v>
      </c>
      <c r="B28" s="49" t="s">
        <v>487</v>
      </c>
      <c r="C28" s="50" t="s">
        <v>83</v>
      </c>
      <c r="D28" s="51" t="s">
        <v>292</v>
      </c>
      <c r="E28" s="51" t="s">
        <v>449</v>
      </c>
      <c r="F28" s="49" t="s">
        <v>215</v>
      </c>
      <c r="G28" s="49" t="s">
        <v>360</v>
      </c>
      <c r="H28" s="49" t="s">
        <v>48</v>
      </c>
      <c r="I28" s="52">
        <v>1.774</v>
      </c>
      <c r="J28" s="53" t="s">
        <v>554</v>
      </c>
      <c r="K28" s="265">
        <f>L28+M28</f>
        <v>5120774.6500000004</v>
      </c>
      <c r="L28" s="252">
        <v>2816426.05</v>
      </c>
      <c r="M28" s="265">
        <v>2304348.6</v>
      </c>
      <c r="N28" s="55">
        <v>0.55000000000000004</v>
      </c>
      <c r="O28" s="43"/>
      <c r="P28" s="43"/>
      <c r="Q28" s="265"/>
      <c r="R28" s="265"/>
      <c r="S28" s="265"/>
      <c r="T28" s="265">
        <v>2816426.05</v>
      </c>
      <c r="U28" s="265"/>
      <c r="V28" s="265"/>
      <c r="W28" s="265"/>
      <c r="X28" s="265"/>
      <c r="Y28" s="265"/>
      <c r="Z28" s="265"/>
      <c r="AA28" s="198" t="b">
        <f t="shared" si="4"/>
        <v>1</v>
      </c>
      <c r="AB28" s="199">
        <f t="shared" si="5"/>
        <v>0.55000000000000004</v>
      </c>
      <c r="AC28" s="200" t="b">
        <f t="shared" si="6"/>
        <v>1</v>
      </c>
      <c r="AD28" s="200" t="b">
        <f t="shared" si="7"/>
        <v>1</v>
      </c>
    </row>
    <row r="29" spans="1:113" s="201" customFormat="1" ht="30" customHeight="1">
      <c r="A29" s="232">
        <v>27</v>
      </c>
      <c r="B29" s="227" t="s">
        <v>488</v>
      </c>
      <c r="C29" s="233" t="s">
        <v>70</v>
      </c>
      <c r="D29" s="234" t="s">
        <v>321</v>
      </c>
      <c r="E29" s="234" t="s">
        <v>322</v>
      </c>
      <c r="F29" s="227" t="s">
        <v>231</v>
      </c>
      <c r="G29" s="227" t="s">
        <v>361</v>
      </c>
      <c r="H29" s="227" t="s">
        <v>48</v>
      </c>
      <c r="I29" s="235">
        <v>2.2679999999999998</v>
      </c>
      <c r="J29" s="236" t="s">
        <v>631</v>
      </c>
      <c r="K29" s="237">
        <v>11884144</v>
      </c>
      <c r="L29" s="230">
        <v>6536279.2000000002</v>
      </c>
      <c r="M29" s="237">
        <f t="shared" ref="M29:M92" si="16">K29-L29</f>
        <v>5347864.8</v>
      </c>
      <c r="N29" s="231">
        <v>0.55000000000000004</v>
      </c>
      <c r="O29" s="238"/>
      <c r="P29" s="238"/>
      <c r="Q29" s="237"/>
      <c r="R29" s="237"/>
      <c r="S29" s="237"/>
      <c r="T29" s="237">
        <v>2317274.3000000003</v>
      </c>
      <c r="U29" s="237">
        <v>1509462.35</v>
      </c>
      <c r="V29" s="237">
        <v>2709542.5500000003</v>
      </c>
      <c r="W29" s="237"/>
      <c r="X29" s="237"/>
      <c r="Y29" s="237"/>
      <c r="Z29" s="237"/>
      <c r="AA29" s="198" t="b">
        <f t="shared" si="4"/>
        <v>1</v>
      </c>
      <c r="AB29" s="199">
        <f t="shared" si="5"/>
        <v>0.55000000000000004</v>
      </c>
      <c r="AC29" s="200" t="b">
        <f t="shared" si="6"/>
        <v>1</v>
      </c>
      <c r="AD29" s="200" t="b">
        <f t="shared" si="7"/>
        <v>1</v>
      </c>
    </row>
    <row r="30" spans="1:113" ht="30" customHeight="1">
      <c r="A30" s="232">
        <v>28</v>
      </c>
      <c r="B30" s="49" t="s">
        <v>489</v>
      </c>
      <c r="C30" s="50" t="s">
        <v>83</v>
      </c>
      <c r="D30" s="51" t="s">
        <v>329</v>
      </c>
      <c r="E30" s="51" t="s">
        <v>450</v>
      </c>
      <c r="F30" s="49" t="s">
        <v>199</v>
      </c>
      <c r="G30" s="49" t="s">
        <v>362</v>
      </c>
      <c r="H30" s="49" t="s">
        <v>48</v>
      </c>
      <c r="I30" s="52">
        <v>0.63500000000000001</v>
      </c>
      <c r="J30" s="53" t="s">
        <v>182</v>
      </c>
      <c r="K30" s="265">
        <v>3156463.25</v>
      </c>
      <c r="L30" s="252">
        <v>1893877.95</v>
      </c>
      <c r="M30" s="265">
        <f t="shared" si="16"/>
        <v>1262585.3</v>
      </c>
      <c r="N30" s="55">
        <v>0.6</v>
      </c>
      <c r="O30" s="43"/>
      <c r="P30" s="43"/>
      <c r="Q30" s="265"/>
      <c r="R30" s="265"/>
      <c r="S30" s="265"/>
      <c r="T30" s="265">
        <f>L30</f>
        <v>1893877.95</v>
      </c>
      <c r="U30" s="265"/>
      <c r="V30" s="265"/>
      <c r="W30" s="265"/>
      <c r="X30" s="265"/>
      <c r="Y30" s="265"/>
      <c r="Z30" s="265"/>
      <c r="AA30" s="198" t="b">
        <f t="shared" si="4"/>
        <v>1</v>
      </c>
      <c r="AB30" s="199">
        <f t="shared" si="5"/>
        <v>0.6</v>
      </c>
      <c r="AC30" s="200" t="b">
        <f t="shared" si="6"/>
        <v>1</v>
      </c>
      <c r="AD30" s="200" t="b">
        <f t="shared" si="7"/>
        <v>1</v>
      </c>
    </row>
    <row r="31" spans="1:113" s="201" customFormat="1" ht="40.5" customHeight="1">
      <c r="A31" s="232">
        <v>29</v>
      </c>
      <c r="B31" s="227" t="s">
        <v>490</v>
      </c>
      <c r="C31" s="233" t="s">
        <v>70</v>
      </c>
      <c r="D31" s="234" t="s">
        <v>330</v>
      </c>
      <c r="E31" s="234" t="s">
        <v>451</v>
      </c>
      <c r="F31" s="227" t="s">
        <v>281</v>
      </c>
      <c r="G31" s="227" t="s">
        <v>363</v>
      </c>
      <c r="H31" s="227" t="s">
        <v>50</v>
      </c>
      <c r="I31" s="235">
        <v>1.006</v>
      </c>
      <c r="J31" s="236" t="s">
        <v>556</v>
      </c>
      <c r="K31" s="237">
        <v>10594800</v>
      </c>
      <c r="L31" s="230">
        <v>5297400</v>
      </c>
      <c r="M31" s="237">
        <f t="shared" si="16"/>
        <v>5297400</v>
      </c>
      <c r="N31" s="231">
        <v>0.5</v>
      </c>
      <c r="O31" s="238"/>
      <c r="P31" s="238"/>
      <c r="Q31" s="237"/>
      <c r="R31" s="237"/>
      <c r="S31" s="237"/>
      <c r="T31" s="237">
        <v>2500000</v>
      </c>
      <c r="U31" s="237">
        <v>2797400</v>
      </c>
      <c r="V31" s="237"/>
      <c r="W31" s="237"/>
      <c r="X31" s="237"/>
      <c r="Y31" s="237"/>
      <c r="Z31" s="237"/>
      <c r="AA31" s="198" t="b">
        <f t="shared" si="4"/>
        <v>1</v>
      </c>
      <c r="AB31" s="199">
        <f t="shared" si="5"/>
        <v>0.5</v>
      </c>
      <c r="AC31" s="200" t="b">
        <f t="shared" si="6"/>
        <v>1</v>
      </c>
      <c r="AD31" s="200" t="b">
        <f t="shared" si="7"/>
        <v>1</v>
      </c>
    </row>
    <row r="32" spans="1:113" s="201" customFormat="1" ht="30" customHeight="1">
      <c r="A32" s="232">
        <v>30</v>
      </c>
      <c r="B32" s="227" t="s">
        <v>491</v>
      </c>
      <c r="C32" s="233" t="s">
        <v>70</v>
      </c>
      <c r="D32" s="234" t="s">
        <v>331</v>
      </c>
      <c r="E32" s="234" t="s">
        <v>262</v>
      </c>
      <c r="F32" s="227" t="s">
        <v>247</v>
      </c>
      <c r="G32" s="227" t="s">
        <v>364</v>
      </c>
      <c r="H32" s="227" t="s">
        <v>50</v>
      </c>
      <c r="I32" s="235">
        <v>0.57299999999999995</v>
      </c>
      <c r="J32" s="236" t="s">
        <v>179</v>
      </c>
      <c r="K32" s="237">
        <v>3937546</v>
      </c>
      <c r="L32" s="230">
        <v>1968773</v>
      </c>
      <c r="M32" s="237">
        <f t="shared" si="16"/>
        <v>1968773</v>
      </c>
      <c r="N32" s="231">
        <v>0.5</v>
      </c>
      <c r="O32" s="238"/>
      <c r="P32" s="238"/>
      <c r="Q32" s="237"/>
      <c r="R32" s="237"/>
      <c r="S32" s="237"/>
      <c r="T32" s="237">
        <v>500000</v>
      </c>
      <c r="U32" s="237">
        <v>1468773</v>
      </c>
      <c r="V32" s="237"/>
      <c r="W32" s="237"/>
      <c r="X32" s="237"/>
      <c r="Y32" s="237"/>
      <c r="Z32" s="237"/>
      <c r="AA32" s="198" t="b">
        <f t="shared" si="4"/>
        <v>1</v>
      </c>
      <c r="AB32" s="199">
        <f t="shared" si="5"/>
        <v>0.5</v>
      </c>
      <c r="AC32" s="200" t="b">
        <f t="shared" si="6"/>
        <v>1</v>
      </c>
      <c r="AD32" s="200" t="b">
        <f t="shared" si="7"/>
        <v>1</v>
      </c>
    </row>
    <row r="33" spans="1:30" s="201" customFormat="1" ht="65.25" customHeight="1">
      <c r="A33" s="232">
        <v>31</v>
      </c>
      <c r="B33" s="227" t="s">
        <v>492</v>
      </c>
      <c r="C33" s="233"/>
      <c r="D33" s="234" t="s">
        <v>633</v>
      </c>
      <c r="E33" s="234" t="s">
        <v>207</v>
      </c>
      <c r="F33" s="227" t="s">
        <v>208</v>
      </c>
      <c r="G33" s="227" t="s">
        <v>365</v>
      </c>
      <c r="H33" s="227"/>
      <c r="I33" s="235"/>
      <c r="J33" s="236"/>
      <c r="K33" s="237"/>
      <c r="L33" s="230"/>
      <c r="M33" s="237"/>
      <c r="N33" s="231"/>
      <c r="O33" s="238"/>
      <c r="P33" s="238"/>
      <c r="Q33" s="237"/>
      <c r="R33" s="237"/>
      <c r="S33" s="237"/>
      <c r="T33" s="237"/>
      <c r="U33" s="237"/>
      <c r="V33" s="237"/>
      <c r="W33" s="237"/>
      <c r="X33" s="237"/>
      <c r="Y33" s="237"/>
      <c r="Z33" s="237"/>
      <c r="AA33" s="198" t="b">
        <f t="shared" si="4"/>
        <v>1</v>
      </c>
      <c r="AB33" s="199" t="e">
        <f t="shared" si="5"/>
        <v>#DIV/0!</v>
      </c>
      <c r="AC33" s="200" t="e">
        <f t="shared" si="6"/>
        <v>#DIV/0!</v>
      </c>
      <c r="AD33" s="200" t="b">
        <f t="shared" si="7"/>
        <v>1</v>
      </c>
    </row>
    <row r="34" spans="1:30" s="201" customFormat="1" ht="30" customHeight="1">
      <c r="A34" s="232">
        <v>32</v>
      </c>
      <c r="B34" s="227" t="s">
        <v>493</v>
      </c>
      <c r="C34" s="233" t="s">
        <v>70</v>
      </c>
      <c r="D34" s="234" t="s">
        <v>324</v>
      </c>
      <c r="E34" s="234" t="s">
        <v>325</v>
      </c>
      <c r="F34" s="227" t="s">
        <v>247</v>
      </c>
      <c r="G34" s="227" t="s">
        <v>366</v>
      </c>
      <c r="H34" s="227" t="s">
        <v>50</v>
      </c>
      <c r="I34" s="235">
        <v>1.8</v>
      </c>
      <c r="J34" s="236" t="s">
        <v>557</v>
      </c>
      <c r="K34" s="237">
        <v>8410380</v>
      </c>
      <c r="L34" s="230">
        <v>4205190</v>
      </c>
      <c r="M34" s="237">
        <f t="shared" si="16"/>
        <v>4205190</v>
      </c>
      <c r="N34" s="231">
        <v>0.5</v>
      </c>
      <c r="O34" s="238"/>
      <c r="P34" s="238"/>
      <c r="Q34" s="237"/>
      <c r="R34" s="237"/>
      <c r="S34" s="237"/>
      <c r="T34" s="237">
        <v>600</v>
      </c>
      <c r="U34" s="237">
        <v>2145000</v>
      </c>
      <c r="V34" s="237">
        <v>2059590</v>
      </c>
      <c r="W34" s="237"/>
      <c r="X34" s="237"/>
      <c r="Y34" s="237"/>
      <c r="Z34" s="237"/>
      <c r="AA34" s="198" t="b">
        <f t="shared" si="4"/>
        <v>1</v>
      </c>
      <c r="AB34" s="199">
        <f t="shared" si="5"/>
        <v>0.5</v>
      </c>
      <c r="AC34" s="200" t="b">
        <f t="shared" si="6"/>
        <v>1</v>
      </c>
      <c r="AD34" s="200" t="b">
        <f t="shared" si="7"/>
        <v>1</v>
      </c>
    </row>
    <row r="35" spans="1:30" s="201" customFormat="1" ht="30" customHeight="1">
      <c r="A35" s="232">
        <v>33</v>
      </c>
      <c r="B35" s="227" t="s">
        <v>494</v>
      </c>
      <c r="C35" s="233" t="s">
        <v>70</v>
      </c>
      <c r="D35" s="234" t="s">
        <v>229</v>
      </c>
      <c r="E35" s="234" t="s">
        <v>230</v>
      </c>
      <c r="F35" s="227" t="s">
        <v>231</v>
      </c>
      <c r="G35" s="227" t="s">
        <v>367</v>
      </c>
      <c r="H35" s="227" t="s">
        <v>50</v>
      </c>
      <c r="I35" s="235">
        <v>0.58499999999999996</v>
      </c>
      <c r="J35" s="236" t="s">
        <v>555</v>
      </c>
      <c r="K35" s="237">
        <v>3182000</v>
      </c>
      <c r="L35" s="230">
        <v>1591000</v>
      </c>
      <c r="M35" s="237">
        <f t="shared" si="16"/>
        <v>1591000</v>
      </c>
      <c r="N35" s="231">
        <v>0.5</v>
      </c>
      <c r="O35" s="238"/>
      <c r="P35" s="238"/>
      <c r="Q35" s="237"/>
      <c r="R35" s="237"/>
      <c r="S35" s="237"/>
      <c r="T35" s="237">
        <v>341000</v>
      </c>
      <c r="U35" s="237">
        <v>750000</v>
      </c>
      <c r="V35" s="237">
        <v>500000</v>
      </c>
      <c r="W35" s="237"/>
      <c r="X35" s="237"/>
      <c r="Y35" s="237"/>
      <c r="Z35" s="237"/>
      <c r="AA35" s="198" t="b">
        <f t="shared" si="4"/>
        <v>1</v>
      </c>
      <c r="AB35" s="199">
        <f t="shared" si="5"/>
        <v>0.5</v>
      </c>
      <c r="AC35" s="200" t="b">
        <f t="shared" si="6"/>
        <v>1</v>
      </c>
      <c r="AD35" s="200" t="b">
        <f t="shared" si="7"/>
        <v>1</v>
      </c>
    </row>
    <row r="36" spans="1:30" s="201" customFormat="1" ht="30" customHeight="1">
      <c r="A36" s="232">
        <v>34</v>
      </c>
      <c r="B36" s="227" t="s">
        <v>495</v>
      </c>
      <c r="C36" s="233" t="s">
        <v>70</v>
      </c>
      <c r="D36" s="234" t="s">
        <v>222</v>
      </c>
      <c r="E36" s="234" t="s">
        <v>223</v>
      </c>
      <c r="F36" s="227" t="s">
        <v>224</v>
      </c>
      <c r="G36" s="227" t="s">
        <v>368</v>
      </c>
      <c r="H36" s="227" t="s">
        <v>48</v>
      </c>
      <c r="I36" s="235">
        <v>1.032</v>
      </c>
      <c r="J36" s="236" t="s">
        <v>556</v>
      </c>
      <c r="K36" s="237">
        <v>4869618.09</v>
      </c>
      <c r="L36" s="230">
        <f>T36+U36</f>
        <v>2434809.04</v>
      </c>
      <c r="M36" s="237">
        <f t="shared" si="16"/>
        <v>2434809.0499999998</v>
      </c>
      <c r="N36" s="231">
        <v>0.5</v>
      </c>
      <c r="O36" s="238"/>
      <c r="P36" s="238"/>
      <c r="Q36" s="237"/>
      <c r="R36" s="237"/>
      <c r="S36" s="237"/>
      <c r="T36" s="237">
        <v>1271452</v>
      </c>
      <c r="U36" s="237">
        <v>1163357.04</v>
      </c>
      <c r="V36" s="237"/>
      <c r="W36" s="237"/>
      <c r="X36" s="237"/>
      <c r="Y36" s="237"/>
      <c r="Z36" s="237"/>
      <c r="AA36" s="198" t="b">
        <f t="shared" si="4"/>
        <v>1</v>
      </c>
      <c r="AB36" s="199">
        <f t="shared" si="5"/>
        <v>0.5</v>
      </c>
      <c r="AC36" s="200" t="b">
        <f t="shared" si="6"/>
        <v>1</v>
      </c>
      <c r="AD36" s="200" t="b">
        <f t="shared" si="7"/>
        <v>1</v>
      </c>
    </row>
    <row r="37" spans="1:30" s="201" customFormat="1" ht="43.5" customHeight="1">
      <c r="A37" s="232">
        <v>35</v>
      </c>
      <c r="B37" s="227" t="s">
        <v>496</v>
      </c>
      <c r="C37" s="233" t="s">
        <v>70</v>
      </c>
      <c r="D37" s="234" t="s">
        <v>302</v>
      </c>
      <c r="E37" s="234">
        <v>2403103</v>
      </c>
      <c r="F37" s="227" t="s">
        <v>191</v>
      </c>
      <c r="G37" s="227" t="s">
        <v>369</v>
      </c>
      <c r="H37" s="227" t="s">
        <v>48</v>
      </c>
      <c r="I37" s="235">
        <v>0.61699999999999999</v>
      </c>
      <c r="J37" s="236" t="s">
        <v>559</v>
      </c>
      <c r="K37" s="237">
        <v>5895278</v>
      </c>
      <c r="L37" s="230">
        <v>3242402.9000000004</v>
      </c>
      <c r="M37" s="237">
        <f t="shared" si="16"/>
        <v>2652875.0999999996</v>
      </c>
      <c r="N37" s="231">
        <v>0.55000000000000004</v>
      </c>
      <c r="O37" s="238"/>
      <c r="P37" s="238"/>
      <c r="Q37" s="237"/>
      <c r="R37" s="237"/>
      <c r="S37" s="237"/>
      <c r="T37" s="237">
        <v>1100000</v>
      </c>
      <c r="U37" s="237">
        <v>2142402.9000000004</v>
      </c>
      <c r="V37" s="237"/>
      <c r="W37" s="237"/>
      <c r="X37" s="237"/>
      <c r="Y37" s="237"/>
      <c r="Z37" s="237"/>
      <c r="AA37" s="198" t="b">
        <f t="shared" si="4"/>
        <v>1</v>
      </c>
      <c r="AB37" s="199">
        <f t="shared" si="5"/>
        <v>0.55000000000000004</v>
      </c>
      <c r="AC37" s="200" t="b">
        <f t="shared" si="6"/>
        <v>1</v>
      </c>
      <c r="AD37" s="200" t="b">
        <f t="shared" si="7"/>
        <v>1</v>
      </c>
    </row>
    <row r="38" spans="1:30" s="201" customFormat="1" ht="54" customHeight="1">
      <c r="A38" s="232">
        <v>36</v>
      </c>
      <c r="B38" s="227" t="s">
        <v>497</v>
      </c>
      <c r="C38" s="233" t="s">
        <v>70</v>
      </c>
      <c r="D38" s="234" t="s">
        <v>332</v>
      </c>
      <c r="E38" s="234" t="s">
        <v>202</v>
      </c>
      <c r="F38" s="227" t="s">
        <v>197</v>
      </c>
      <c r="G38" s="227" t="s">
        <v>370</v>
      </c>
      <c r="H38" s="227" t="s">
        <v>50</v>
      </c>
      <c r="I38" s="235">
        <v>1.8260000000000001</v>
      </c>
      <c r="J38" s="236" t="s">
        <v>560</v>
      </c>
      <c r="K38" s="237">
        <v>14641682</v>
      </c>
      <c r="L38" s="230">
        <v>8052925.1000000006</v>
      </c>
      <c r="M38" s="237">
        <f t="shared" si="16"/>
        <v>6588756.8999999994</v>
      </c>
      <c r="N38" s="231">
        <v>0.55000000000000004</v>
      </c>
      <c r="O38" s="238"/>
      <c r="P38" s="238"/>
      <c r="Q38" s="237"/>
      <c r="R38" s="237"/>
      <c r="S38" s="237"/>
      <c r="T38" s="237">
        <v>1650000.0000000002</v>
      </c>
      <c r="U38" s="237">
        <v>2750000</v>
      </c>
      <c r="V38" s="237">
        <v>3652925.1</v>
      </c>
      <c r="W38" s="237"/>
      <c r="X38" s="237"/>
      <c r="Y38" s="237"/>
      <c r="Z38" s="237"/>
      <c r="AA38" s="198" t="b">
        <f t="shared" si="4"/>
        <v>1</v>
      </c>
      <c r="AB38" s="199">
        <f t="shared" si="5"/>
        <v>0.55000000000000004</v>
      </c>
      <c r="AC38" s="200" t="b">
        <f t="shared" si="6"/>
        <v>1</v>
      </c>
      <c r="AD38" s="200" t="b">
        <f t="shared" si="7"/>
        <v>1</v>
      </c>
    </row>
    <row r="39" spans="1:30" s="201" customFormat="1" ht="56.25" customHeight="1">
      <c r="A39" s="232">
        <v>37</v>
      </c>
      <c r="B39" s="227" t="s">
        <v>498</v>
      </c>
      <c r="C39" s="233" t="s">
        <v>70</v>
      </c>
      <c r="D39" s="234" t="s">
        <v>222</v>
      </c>
      <c r="E39" s="234" t="s">
        <v>223</v>
      </c>
      <c r="F39" s="227" t="s">
        <v>224</v>
      </c>
      <c r="G39" s="227" t="s">
        <v>371</v>
      </c>
      <c r="H39" s="227" t="s">
        <v>48</v>
      </c>
      <c r="I39" s="235">
        <v>0.625</v>
      </c>
      <c r="J39" s="236" t="s">
        <v>179</v>
      </c>
      <c r="K39" s="237">
        <v>5067546</v>
      </c>
      <c r="L39" s="230">
        <v>2533773</v>
      </c>
      <c r="M39" s="237">
        <f t="shared" si="16"/>
        <v>2533773</v>
      </c>
      <c r="N39" s="231">
        <v>0.5</v>
      </c>
      <c r="O39" s="238"/>
      <c r="P39" s="238"/>
      <c r="Q39" s="237"/>
      <c r="R39" s="237"/>
      <c r="S39" s="237"/>
      <c r="T39" s="237">
        <v>1266886.5</v>
      </c>
      <c r="U39" s="237">
        <v>1266886.5</v>
      </c>
      <c r="V39" s="237"/>
      <c r="W39" s="237"/>
      <c r="X39" s="237"/>
      <c r="Y39" s="237"/>
      <c r="Z39" s="237"/>
      <c r="AA39" s="198" t="b">
        <f t="shared" si="4"/>
        <v>1</v>
      </c>
      <c r="AB39" s="199">
        <f t="shared" si="5"/>
        <v>0.5</v>
      </c>
      <c r="AC39" s="200" t="b">
        <f t="shared" si="6"/>
        <v>1</v>
      </c>
      <c r="AD39" s="200" t="b">
        <f t="shared" si="7"/>
        <v>1</v>
      </c>
    </row>
    <row r="40" spans="1:30" ht="30" customHeight="1">
      <c r="A40" s="232">
        <v>38</v>
      </c>
      <c r="B40" s="49" t="s">
        <v>499</v>
      </c>
      <c r="C40" s="50" t="s">
        <v>83</v>
      </c>
      <c r="D40" s="51" t="s">
        <v>309</v>
      </c>
      <c r="E40" s="51">
        <v>2405021</v>
      </c>
      <c r="F40" s="49" t="s">
        <v>263</v>
      </c>
      <c r="G40" s="49" t="s">
        <v>372</v>
      </c>
      <c r="H40" s="49" t="s">
        <v>50</v>
      </c>
      <c r="I40" s="52">
        <v>1.573</v>
      </c>
      <c r="J40" s="53" t="s">
        <v>187</v>
      </c>
      <c r="K40" s="265">
        <v>4041641</v>
      </c>
      <c r="L40" s="252">
        <v>2222902.5500000003</v>
      </c>
      <c r="M40" s="265">
        <f t="shared" si="16"/>
        <v>1818738.4499999997</v>
      </c>
      <c r="N40" s="55">
        <v>0.55000000000000004</v>
      </c>
      <c r="O40" s="43"/>
      <c r="P40" s="43"/>
      <c r="Q40" s="265"/>
      <c r="R40" s="265"/>
      <c r="S40" s="265"/>
      <c r="T40" s="265">
        <v>2222902.5500000003</v>
      </c>
      <c r="U40" s="265"/>
      <c r="V40" s="265"/>
      <c r="W40" s="265"/>
      <c r="X40" s="265"/>
      <c r="Y40" s="265"/>
      <c r="Z40" s="265"/>
      <c r="AA40" s="198" t="b">
        <f t="shared" si="4"/>
        <v>1</v>
      </c>
      <c r="AB40" s="199">
        <f t="shared" si="5"/>
        <v>0.55000000000000004</v>
      </c>
      <c r="AC40" s="200" t="b">
        <f t="shared" si="6"/>
        <v>1</v>
      </c>
      <c r="AD40" s="200" t="b">
        <f t="shared" si="7"/>
        <v>1</v>
      </c>
    </row>
    <row r="41" spans="1:30" s="201" customFormat="1" ht="30" customHeight="1">
      <c r="A41" s="232">
        <v>39</v>
      </c>
      <c r="B41" s="227" t="s">
        <v>603</v>
      </c>
      <c r="C41" s="233" t="s">
        <v>70</v>
      </c>
      <c r="D41" s="234" t="s">
        <v>61</v>
      </c>
      <c r="E41" s="234" t="s">
        <v>316</v>
      </c>
      <c r="F41" s="227" t="s">
        <v>317</v>
      </c>
      <c r="G41" s="227" t="s">
        <v>373</v>
      </c>
      <c r="H41" s="227" t="s">
        <v>48</v>
      </c>
      <c r="I41" s="235">
        <v>1.0349999999999999</v>
      </c>
      <c r="J41" s="236" t="s">
        <v>561</v>
      </c>
      <c r="K41" s="237">
        <v>8756877.0999999996</v>
      </c>
      <c r="L41" s="230">
        <v>4378438.55</v>
      </c>
      <c r="M41" s="237">
        <v>4378438.55</v>
      </c>
      <c r="N41" s="231">
        <v>0.5</v>
      </c>
      <c r="O41" s="238"/>
      <c r="P41" s="238"/>
      <c r="Q41" s="237"/>
      <c r="R41" s="237"/>
      <c r="S41" s="237"/>
      <c r="T41" s="237">
        <v>1500000</v>
      </c>
      <c r="U41" s="237">
        <v>2878438.55</v>
      </c>
      <c r="V41" s="237"/>
      <c r="W41" s="237"/>
      <c r="X41" s="237"/>
      <c r="Y41" s="237"/>
      <c r="Z41" s="237"/>
      <c r="AA41" s="198" t="b">
        <f t="shared" si="4"/>
        <v>1</v>
      </c>
      <c r="AB41" s="199">
        <f t="shared" si="5"/>
        <v>0.5</v>
      </c>
      <c r="AC41" s="200" t="b">
        <f t="shared" si="6"/>
        <v>1</v>
      </c>
      <c r="AD41" s="200" t="b">
        <f t="shared" si="7"/>
        <v>1</v>
      </c>
    </row>
    <row r="42" spans="1:30" s="201" customFormat="1" ht="30" customHeight="1">
      <c r="A42" s="232">
        <v>40</v>
      </c>
      <c r="B42" s="227" t="s">
        <v>611</v>
      </c>
      <c r="C42" s="233" t="s">
        <v>70</v>
      </c>
      <c r="D42" s="234" t="s">
        <v>333</v>
      </c>
      <c r="E42" s="234" t="s">
        <v>452</v>
      </c>
      <c r="F42" s="227" t="s">
        <v>213</v>
      </c>
      <c r="G42" s="227" t="s">
        <v>374</v>
      </c>
      <c r="H42" s="227" t="s">
        <v>50</v>
      </c>
      <c r="I42" s="235">
        <v>0.13100000000000001</v>
      </c>
      <c r="J42" s="236" t="s">
        <v>562</v>
      </c>
      <c r="K42" s="237">
        <v>3750178.5</v>
      </c>
      <c r="L42" s="230">
        <f t="shared" ref="L42:L43" si="17">T42+U42</f>
        <v>1231694.95</v>
      </c>
      <c r="M42" s="237">
        <v>2518483.5499999998</v>
      </c>
      <c r="N42" s="231">
        <v>0.55000000000000004</v>
      </c>
      <c r="O42" s="238"/>
      <c r="P42" s="238"/>
      <c r="Q42" s="237"/>
      <c r="R42" s="237"/>
      <c r="S42" s="237"/>
      <c r="T42" s="237">
        <v>169125</v>
      </c>
      <c r="U42" s="302">
        <f>1062569.95</f>
        <v>1062569.95</v>
      </c>
      <c r="V42" s="237"/>
      <c r="W42" s="237"/>
      <c r="X42" s="237"/>
      <c r="Y42" s="237"/>
      <c r="Z42" s="237"/>
      <c r="AA42" s="198" t="b">
        <f t="shared" si="4"/>
        <v>1</v>
      </c>
      <c r="AB42" s="199">
        <f t="shared" si="5"/>
        <v>0.32840000000000003</v>
      </c>
      <c r="AC42" s="200" t="b">
        <f t="shared" si="6"/>
        <v>0</v>
      </c>
      <c r="AD42" s="200" t="b">
        <f t="shared" si="7"/>
        <v>1</v>
      </c>
    </row>
    <row r="43" spans="1:30" s="201" customFormat="1" ht="30" customHeight="1">
      <c r="A43" s="232">
        <v>41</v>
      </c>
      <c r="B43" s="227" t="s">
        <v>588</v>
      </c>
      <c r="C43" s="233" t="s">
        <v>70</v>
      </c>
      <c r="D43" s="234" t="s">
        <v>219</v>
      </c>
      <c r="E43" s="234" t="s">
        <v>196</v>
      </c>
      <c r="F43" s="227" t="s">
        <v>197</v>
      </c>
      <c r="G43" s="227" t="s">
        <v>375</v>
      </c>
      <c r="H43" s="227" t="s">
        <v>50</v>
      </c>
      <c r="I43" s="235">
        <v>1.347</v>
      </c>
      <c r="J43" s="236" t="s">
        <v>172</v>
      </c>
      <c r="K43" s="237">
        <v>8958933</v>
      </c>
      <c r="L43" s="230">
        <f t="shared" si="17"/>
        <v>2196393</v>
      </c>
      <c r="M43" s="237">
        <f t="shared" si="16"/>
        <v>6762540</v>
      </c>
      <c r="N43" s="231">
        <v>0.5</v>
      </c>
      <c r="O43" s="238"/>
      <c r="P43" s="238"/>
      <c r="Q43" s="237"/>
      <c r="R43" s="237"/>
      <c r="S43" s="237"/>
      <c r="T43" s="237">
        <v>2196393</v>
      </c>
      <c r="U43" s="302">
        <v>0</v>
      </c>
      <c r="V43" s="237"/>
      <c r="W43" s="237"/>
      <c r="X43" s="237"/>
      <c r="Y43" s="237"/>
      <c r="Z43" s="237"/>
      <c r="AA43" s="198" t="b">
        <f t="shared" si="4"/>
        <v>1</v>
      </c>
      <c r="AB43" s="199">
        <f t="shared" si="5"/>
        <v>0.2452</v>
      </c>
      <c r="AC43" s="200" t="b">
        <f t="shared" si="6"/>
        <v>0</v>
      </c>
      <c r="AD43" s="200" t="b">
        <f t="shared" si="7"/>
        <v>1</v>
      </c>
    </row>
    <row r="44" spans="1:30" s="201" customFormat="1" ht="74.25" customHeight="1">
      <c r="A44" s="232">
        <v>42</v>
      </c>
      <c r="B44" s="227" t="s">
        <v>587</v>
      </c>
      <c r="C44" s="233" t="s">
        <v>70</v>
      </c>
      <c r="D44" s="234" t="s">
        <v>334</v>
      </c>
      <c r="E44" s="234">
        <v>2407011</v>
      </c>
      <c r="F44" s="227" t="s">
        <v>211</v>
      </c>
      <c r="G44" s="227" t="s">
        <v>620</v>
      </c>
      <c r="H44" s="227" t="s">
        <v>48</v>
      </c>
      <c r="I44" s="235">
        <v>1.0960000000000001</v>
      </c>
      <c r="J44" s="236" t="s">
        <v>625</v>
      </c>
      <c r="K44" s="237">
        <v>7420677.4199999999</v>
      </c>
      <c r="L44" s="230">
        <v>3318177</v>
      </c>
      <c r="M44" s="237">
        <v>4102500.42</v>
      </c>
      <c r="N44" s="231">
        <v>0.5</v>
      </c>
      <c r="O44" s="238"/>
      <c r="P44" s="238"/>
      <c r="Q44" s="237"/>
      <c r="R44" s="237"/>
      <c r="S44" s="237"/>
      <c r="T44" s="237">
        <v>3318177</v>
      </c>
      <c r="U44" s="302">
        <v>0</v>
      </c>
      <c r="V44" s="237"/>
      <c r="W44" s="237"/>
      <c r="X44" s="237"/>
      <c r="Y44" s="237"/>
      <c r="Z44" s="237"/>
      <c r="AA44" s="198" t="b">
        <f t="shared" si="4"/>
        <v>1</v>
      </c>
      <c r="AB44" s="199">
        <f t="shared" si="5"/>
        <v>0.44719999999999999</v>
      </c>
      <c r="AC44" s="200" t="b">
        <f t="shared" si="6"/>
        <v>0</v>
      </c>
      <c r="AD44" s="200" t="b">
        <f t="shared" si="7"/>
        <v>1</v>
      </c>
    </row>
    <row r="45" spans="1:30" ht="51" customHeight="1">
      <c r="A45" s="232">
        <v>43</v>
      </c>
      <c r="B45" s="49" t="s">
        <v>500</v>
      </c>
      <c r="C45" s="50"/>
      <c r="D45" s="51" t="s">
        <v>617</v>
      </c>
      <c r="E45" s="51" t="s">
        <v>453</v>
      </c>
      <c r="F45" s="49" t="s">
        <v>191</v>
      </c>
      <c r="G45" s="49" t="s">
        <v>376</v>
      </c>
      <c r="H45" s="49"/>
      <c r="I45" s="52"/>
      <c r="J45" s="53"/>
      <c r="K45" s="265"/>
      <c r="L45" s="252"/>
      <c r="M45" s="265"/>
      <c r="N45" s="55"/>
      <c r="O45" s="43"/>
      <c r="P45" s="43"/>
      <c r="Q45" s="265"/>
      <c r="R45" s="265"/>
      <c r="S45" s="265"/>
      <c r="T45" s="265"/>
      <c r="U45" s="265"/>
      <c r="V45" s="265"/>
      <c r="W45" s="265"/>
      <c r="X45" s="265"/>
      <c r="Y45" s="265"/>
      <c r="Z45" s="265"/>
      <c r="AA45" s="198" t="b">
        <f t="shared" si="4"/>
        <v>1</v>
      </c>
      <c r="AB45" s="199" t="e">
        <f t="shared" si="5"/>
        <v>#DIV/0!</v>
      </c>
      <c r="AC45" s="200" t="e">
        <f t="shared" si="6"/>
        <v>#DIV/0!</v>
      </c>
      <c r="AD45" s="200" t="b">
        <f t="shared" si="7"/>
        <v>1</v>
      </c>
    </row>
    <row r="46" spans="1:30" s="201" customFormat="1" ht="52.5" customHeight="1">
      <c r="A46" s="232">
        <v>44</v>
      </c>
      <c r="B46" s="227" t="s">
        <v>644</v>
      </c>
      <c r="C46" s="233"/>
      <c r="D46" s="234" t="s">
        <v>635</v>
      </c>
      <c r="E46" s="234" t="s">
        <v>214</v>
      </c>
      <c r="F46" s="227" t="s">
        <v>215</v>
      </c>
      <c r="G46" s="227" t="s">
        <v>377</v>
      </c>
      <c r="H46" s="227"/>
      <c r="I46" s="235"/>
      <c r="J46" s="236"/>
      <c r="K46" s="237"/>
      <c r="L46" s="230"/>
      <c r="M46" s="237"/>
      <c r="N46" s="231"/>
      <c r="O46" s="238"/>
      <c r="P46" s="238"/>
      <c r="Q46" s="237"/>
      <c r="R46" s="237"/>
      <c r="S46" s="237"/>
      <c r="T46" s="237"/>
      <c r="U46" s="237"/>
      <c r="V46" s="237"/>
      <c r="W46" s="237"/>
      <c r="X46" s="237"/>
      <c r="Y46" s="237"/>
      <c r="Z46" s="237"/>
      <c r="AA46" s="198" t="b">
        <f t="shared" si="4"/>
        <v>1</v>
      </c>
      <c r="AB46" s="199" t="e">
        <f t="shared" si="5"/>
        <v>#DIV/0!</v>
      </c>
      <c r="AC46" s="200" t="e">
        <f t="shared" si="6"/>
        <v>#DIV/0!</v>
      </c>
      <c r="AD46" s="200" t="b">
        <f t="shared" si="7"/>
        <v>1</v>
      </c>
    </row>
    <row r="47" spans="1:30" ht="30" customHeight="1">
      <c r="A47" s="232">
        <v>45</v>
      </c>
      <c r="B47" s="49" t="s">
        <v>501</v>
      </c>
      <c r="C47" s="50" t="s">
        <v>83</v>
      </c>
      <c r="D47" s="51" t="s">
        <v>335</v>
      </c>
      <c r="E47" s="51" t="s">
        <v>454</v>
      </c>
      <c r="F47" s="49" t="s">
        <v>224</v>
      </c>
      <c r="G47" s="49" t="s">
        <v>378</v>
      </c>
      <c r="H47" s="49" t="s">
        <v>48</v>
      </c>
      <c r="I47" s="52">
        <v>0.90900000000000003</v>
      </c>
      <c r="J47" s="53" t="s">
        <v>563</v>
      </c>
      <c r="K47" s="265">
        <v>2869784.64</v>
      </c>
      <c r="L47" s="252">
        <v>1721870.78</v>
      </c>
      <c r="M47" s="265">
        <f t="shared" si="16"/>
        <v>1147913.8600000001</v>
      </c>
      <c r="N47" s="55">
        <v>0.6</v>
      </c>
      <c r="O47" s="43"/>
      <c r="P47" s="43"/>
      <c r="Q47" s="265"/>
      <c r="R47" s="265"/>
      <c r="S47" s="265"/>
      <c r="T47" s="265">
        <v>1721870.78</v>
      </c>
      <c r="U47" s="265"/>
      <c r="V47" s="265"/>
      <c r="W47" s="265"/>
      <c r="X47" s="265"/>
      <c r="Y47" s="265"/>
      <c r="Z47" s="265"/>
      <c r="AA47" s="198" t="b">
        <f t="shared" si="4"/>
        <v>1</v>
      </c>
      <c r="AB47" s="199">
        <f t="shared" si="5"/>
        <v>0.6</v>
      </c>
      <c r="AC47" s="200" t="b">
        <f t="shared" si="6"/>
        <v>1</v>
      </c>
      <c r="AD47" s="200" t="b">
        <f t="shared" si="7"/>
        <v>1</v>
      </c>
    </row>
    <row r="48" spans="1:30" s="201" customFormat="1" ht="30" customHeight="1">
      <c r="A48" s="232">
        <v>46</v>
      </c>
      <c r="B48" s="227" t="s">
        <v>586</v>
      </c>
      <c r="C48" s="233" t="s">
        <v>70</v>
      </c>
      <c r="D48" s="234" t="s">
        <v>336</v>
      </c>
      <c r="E48" s="234" t="s">
        <v>455</v>
      </c>
      <c r="F48" s="227" t="s">
        <v>213</v>
      </c>
      <c r="G48" s="227" t="s">
        <v>379</v>
      </c>
      <c r="H48" s="227" t="s">
        <v>50</v>
      </c>
      <c r="I48" s="235">
        <v>0.63</v>
      </c>
      <c r="J48" s="299" t="s">
        <v>648</v>
      </c>
      <c r="K48" s="237">
        <v>4374534</v>
      </c>
      <c r="L48" s="230">
        <f>T48+U48</f>
        <v>1000000</v>
      </c>
      <c r="M48" s="237">
        <f t="shared" si="16"/>
        <v>3374534</v>
      </c>
      <c r="N48" s="231">
        <v>0.5</v>
      </c>
      <c r="O48" s="238"/>
      <c r="P48" s="238"/>
      <c r="Q48" s="237"/>
      <c r="R48" s="237"/>
      <c r="S48" s="237"/>
      <c r="T48" s="237">
        <v>1000000</v>
      </c>
      <c r="U48" s="302">
        <v>0</v>
      </c>
      <c r="V48" s="237"/>
      <c r="W48" s="237"/>
      <c r="X48" s="237"/>
      <c r="Y48" s="237"/>
      <c r="Z48" s="237"/>
      <c r="AA48" s="198" t="b">
        <f t="shared" si="4"/>
        <v>1</v>
      </c>
      <c r="AB48" s="199">
        <f t="shared" si="5"/>
        <v>0.2286</v>
      </c>
      <c r="AC48" s="200" t="b">
        <f t="shared" si="6"/>
        <v>0</v>
      </c>
      <c r="AD48" s="200" t="b">
        <f t="shared" si="7"/>
        <v>1</v>
      </c>
    </row>
    <row r="49" spans="1:30" ht="30" customHeight="1">
      <c r="A49" s="232">
        <v>47</v>
      </c>
      <c r="B49" s="49" t="s">
        <v>502</v>
      </c>
      <c r="C49" s="50" t="s">
        <v>83</v>
      </c>
      <c r="D49" s="51" t="s">
        <v>337</v>
      </c>
      <c r="E49" s="51" t="s">
        <v>456</v>
      </c>
      <c r="F49" s="49" t="s">
        <v>247</v>
      </c>
      <c r="G49" s="49" t="s">
        <v>380</v>
      </c>
      <c r="H49" s="49" t="s">
        <v>48</v>
      </c>
      <c r="I49" s="52">
        <v>0.82099999999999995</v>
      </c>
      <c r="J49" s="53" t="s">
        <v>659</v>
      </c>
      <c r="K49" s="265">
        <v>5032646.41</v>
      </c>
      <c r="L49" s="252">
        <v>3019587.84</v>
      </c>
      <c r="M49" s="265">
        <f t="shared" si="16"/>
        <v>2013058.5700000003</v>
      </c>
      <c r="N49" s="55">
        <v>0.6</v>
      </c>
      <c r="O49" s="43"/>
      <c r="P49" s="43"/>
      <c r="Q49" s="265"/>
      <c r="R49" s="265"/>
      <c r="S49" s="265"/>
      <c r="T49" s="252">
        <v>3019587.84</v>
      </c>
      <c r="U49" s="265"/>
      <c r="V49" s="265"/>
      <c r="W49" s="265"/>
      <c r="X49" s="265"/>
      <c r="Y49" s="265"/>
      <c r="Z49" s="265"/>
      <c r="AA49" s="198" t="b">
        <f t="shared" si="4"/>
        <v>1</v>
      </c>
      <c r="AB49" s="199">
        <f t="shared" si="5"/>
        <v>0.6</v>
      </c>
      <c r="AC49" s="200" t="b">
        <f t="shared" si="6"/>
        <v>1</v>
      </c>
      <c r="AD49" s="200" t="b">
        <f t="shared" si="7"/>
        <v>1</v>
      </c>
    </row>
    <row r="50" spans="1:30" ht="30" customHeight="1">
      <c r="A50" s="232">
        <v>48</v>
      </c>
      <c r="B50" s="49" t="s">
        <v>503</v>
      </c>
      <c r="C50" s="50" t="s">
        <v>83</v>
      </c>
      <c r="D50" s="51" t="s">
        <v>338</v>
      </c>
      <c r="E50" s="51" t="s">
        <v>457</v>
      </c>
      <c r="F50" s="49" t="s">
        <v>231</v>
      </c>
      <c r="G50" s="49" t="s">
        <v>381</v>
      </c>
      <c r="H50" s="49" t="s">
        <v>48</v>
      </c>
      <c r="I50" s="52">
        <v>2.8</v>
      </c>
      <c r="J50" s="53" t="s">
        <v>554</v>
      </c>
      <c r="K50" s="265">
        <v>2704291</v>
      </c>
      <c r="L50" s="252">
        <v>1412895</v>
      </c>
      <c r="M50" s="265">
        <f t="shared" si="16"/>
        <v>1291396</v>
      </c>
      <c r="N50" s="55">
        <v>0.55000000000000004</v>
      </c>
      <c r="O50" s="43"/>
      <c r="P50" s="43"/>
      <c r="Q50" s="265"/>
      <c r="R50" s="265"/>
      <c r="S50" s="265"/>
      <c r="T50" s="265">
        <v>1412895</v>
      </c>
      <c r="U50" s="265"/>
      <c r="V50" s="265"/>
      <c r="W50" s="265"/>
      <c r="X50" s="265"/>
      <c r="Y50" s="265"/>
      <c r="Z50" s="265"/>
      <c r="AA50" s="198" t="b">
        <f t="shared" si="4"/>
        <v>1</v>
      </c>
      <c r="AB50" s="199">
        <f t="shared" si="5"/>
        <v>0.52249999999999996</v>
      </c>
      <c r="AC50" s="200" t="b">
        <f t="shared" si="6"/>
        <v>0</v>
      </c>
      <c r="AD50" s="200" t="b">
        <f t="shared" si="7"/>
        <v>1</v>
      </c>
    </row>
    <row r="51" spans="1:30" s="201" customFormat="1" ht="30" customHeight="1">
      <c r="A51" s="232">
        <v>49</v>
      </c>
      <c r="B51" s="227" t="s">
        <v>584</v>
      </c>
      <c r="C51" s="233" t="s">
        <v>70</v>
      </c>
      <c r="D51" s="234" t="s">
        <v>189</v>
      </c>
      <c r="E51" s="234">
        <v>2403072</v>
      </c>
      <c r="F51" s="227" t="s">
        <v>191</v>
      </c>
      <c r="G51" s="227" t="s">
        <v>382</v>
      </c>
      <c r="H51" s="227" t="s">
        <v>48</v>
      </c>
      <c r="I51" s="235">
        <v>0.77</v>
      </c>
      <c r="J51" s="236" t="s">
        <v>564</v>
      </c>
      <c r="K51" s="237">
        <v>6144058</v>
      </c>
      <c r="L51" s="230">
        <f>T51+U51+V51</f>
        <v>1871775.95</v>
      </c>
      <c r="M51" s="237">
        <f t="shared" si="16"/>
        <v>4272282.05</v>
      </c>
      <c r="N51" s="231">
        <v>0.55000000000000004</v>
      </c>
      <c r="O51" s="238"/>
      <c r="P51" s="238"/>
      <c r="Q51" s="237"/>
      <c r="R51" s="237"/>
      <c r="S51" s="237"/>
      <c r="T51" s="237">
        <v>496775.95</v>
      </c>
      <c r="U51" s="302">
        <v>0</v>
      </c>
      <c r="V51" s="237">
        <v>1375000</v>
      </c>
      <c r="W51" s="237"/>
      <c r="X51" s="237"/>
      <c r="Y51" s="237"/>
      <c r="Z51" s="237"/>
      <c r="AA51" s="198" t="b">
        <f t="shared" si="4"/>
        <v>1</v>
      </c>
      <c r="AB51" s="199">
        <f t="shared" si="5"/>
        <v>0.30459999999999998</v>
      </c>
      <c r="AC51" s="200" t="b">
        <f t="shared" si="6"/>
        <v>0</v>
      </c>
      <c r="AD51" s="200" t="b">
        <f t="shared" si="7"/>
        <v>1</v>
      </c>
    </row>
    <row r="52" spans="1:30" ht="51" customHeight="1">
      <c r="A52" s="232">
        <v>50</v>
      </c>
      <c r="B52" s="49" t="s">
        <v>504</v>
      </c>
      <c r="C52" s="50" t="s">
        <v>83</v>
      </c>
      <c r="D52" s="51" t="s">
        <v>102</v>
      </c>
      <c r="E52" s="51" t="s">
        <v>458</v>
      </c>
      <c r="F52" s="49" t="s">
        <v>481</v>
      </c>
      <c r="G52" s="49" t="s">
        <v>383</v>
      </c>
      <c r="H52" s="49" t="s">
        <v>50</v>
      </c>
      <c r="I52" s="52">
        <v>0.69299999999999995</v>
      </c>
      <c r="J52" s="298" t="s">
        <v>632</v>
      </c>
      <c r="K52" s="265">
        <v>5228203</v>
      </c>
      <c r="L52" s="252">
        <v>2614101.5</v>
      </c>
      <c r="M52" s="265">
        <f t="shared" si="16"/>
        <v>2614101.5</v>
      </c>
      <c r="N52" s="55">
        <v>0.5</v>
      </c>
      <c r="O52" s="43"/>
      <c r="P52" s="43"/>
      <c r="Q52" s="265"/>
      <c r="R52" s="265"/>
      <c r="S52" s="265"/>
      <c r="T52" s="265">
        <v>2614101.5</v>
      </c>
      <c r="U52" s="265"/>
      <c r="V52" s="265"/>
      <c r="W52" s="265"/>
      <c r="X52" s="265"/>
      <c r="Y52" s="265"/>
      <c r="Z52" s="265"/>
      <c r="AA52" s="198" t="b">
        <f t="shared" si="4"/>
        <v>1</v>
      </c>
      <c r="AB52" s="199">
        <f t="shared" si="5"/>
        <v>0.5</v>
      </c>
      <c r="AC52" s="200" t="b">
        <f t="shared" si="6"/>
        <v>1</v>
      </c>
      <c r="AD52" s="200" t="b">
        <f t="shared" si="7"/>
        <v>1</v>
      </c>
    </row>
    <row r="53" spans="1:30" s="201" customFormat="1" ht="30" customHeight="1">
      <c r="A53" s="232">
        <v>51</v>
      </c>
      <c r="B53" s="227" t="s">
        <v>585</v>
      </c>
      <c r="C53" s="233" t="s">
        <v>70</v>
      </c>
      <c r="D53" s="234" t="s">
        <v>333</v>
      </c>
      <c r="E53" s="234" t="s">
        <v>452</v>
      </c>
      <c r="F53" s="227" t="s">
        <v>213</v>
      </c>
      <c r="G53" s="227" t="s">
        <v>384</v>
      </c>
      <c r="H53" s="227" t="s">
        <v>50</v>
      </c>
      <c r="I53" s="235">
        <v>1.534</v>
      </c>
      <c r="J53" s="299" t="s">
        <v>650</v>
      </c>
      <c r="K53" s="237">
        <f>L53+M53</f>
        <v>7876790.0899999999</v>
      </c>
      <c r="L53" s="230">
        <f>T53+U53</f>
        <v>550000</v>
      </c>
      <c r="M53" s="237">
        <v>7326790.0899999999</v>
      </c>
      <c r="N53" s="231">
        <v>0.55000000000000004</v>
      </c>
      <c r="O53" s="238"/>
      <c r="P53" s="238"/>
      <c r="Q53" s="237"/>
      <c r="R53" s="237"/>
      <c r="S53" s="237"/>
      <c r="T53" s="237">
        <v>550000</v>
      </c>
      <c r="U53" s="302">
        <v>0</v>
      </c>
      <c r="V53" s="237"/>
      <c r="W53" s="237"/>
      <c r="X53" s="237"/>
      <c r="Y53" s="237"/>
      <c r="Z53" s="237"/>
      <c r="AA53" s="198" t="b">
        <f t="shared" si="4"/>
        <v>1</v>
      </c>
      <c r="AB53" s="199">
        <f t="shared" si="5"/>
        <v>6.9800000000000001E-2</v>
      </c>
      <c r="AC53" s="200" t="b">
        <f t="shared" si="6"/>
        <v>0</v>
      </c>
      <c r="AD53" s="200" t="b">
        <f t="shared" si="7"/>
        <v>1</v>
      </c>
    </row>
    <row r="54" spans="1:30" ht="30" customHeight="1">
      <c r="A54" s="232">
        <v>52</v>
      </c>
      <c r="B54" s="49" t="s">
        <v>505</v>
      </c>
      <c r="C54" s="50" t="s">
        <v>83</v>
      </c>
      <c r="D54" s="51" t="s">
        <v>339</v>
      </c>
      <c r="E54" s="51" t="s">
        <v>459</v>
      </c>
      <c r="F54" s="49" t="s">
        <v>482</v>
      </c>
      <c r="G54" s="49" t="s">
        <v>385</v>
      </c>
      <c r="H54" s="49" t="s">
        <v>169</v>
      </c>
      <c r="I54" s="52">
        <v>4.0650000000000004</v>
      </c>
      <c r="J54" s="53" t="s">
        <v>187</v>
      </c>
      <c r="K54" s="265">
        <v>2695997.87</v>
      </c>
      <c r="L54" s="252">
        <v>1617598</v>
      </c>
      <c r="M54" s="265">
        <f t="shared" si="16"/>
        <v>1078399.8700000001</v>
      </c>
      <c r="N54" s="55">
        <v>0.6</v>
      </c>
      <c r="O54" s="43"/>
      <c r="P54" s="43"/>
      <c r="Q54" s="265"/>
      <c r="R54" s="265"/>
      <c r="S54" s="265"/>
      <c r="T54" s="265">
        <f>L54</f>
        <v>1617598</v>
      </c>
      <c r="U54" s="265"/>
      <c r="V54" s="265"/>
      <c r="W54" s="265"/>
      <c r="X54" s="265"/>
      <c r="Y54" s="265"/>
      <c r="Z54" s="265"/>
      <c r="AA54" s="198" t="b">
        <f t="shared" si="4"/>
        <v>1</v>
      </c>
      <c r="AB54" s="199">
        <f t="shared" si="5"/>
        <v>0.6</v>
      </c>
      <c r="AC54" s="200" t="b">
        <f t="shared" si="6"/>
        <v>1</v>
      </c>
      <c r="AD54" s="200" t="b">
        <f t="shared" si="7"/>
        <v>1</v>
      </c>
    </row>
    <row r="55" spans="1:30" ht="30" customHeight="1">
      <c r="A55" s="232">
        <v>53</v>
      </c>
      <c r="B55" s="49" t="s">
        <v>506</v>
      </c>
      <c r="C55" s="50" t="s">
        <v>83</v>
      </c>
      <c r="D55" s="51" t="s">
        <v>303</v>
      </c>
      <c r="E55" s="51" t="s">
        <v>304</v>
      </c>
      <c r="F55" s="49" t="s">
        <v>211</v>
      </c>
      <c r="G55" s="49" t="s">
        <v>386</v>
      </c>
      <c r="H55" s="49" t="s">
        <v>48</v>
      </c>
      <c r="I55" s="52">
        <v>0.99</v>
      </c>
      <c r="J55" s="53" t="s">
        <v>634</v>
      </c>
      <c r="K55" s="265">
        <v>1484887</v>
      </c>
      <c r="L55" s="252">
        <v>742443.5</v>
      </c>
      <c r="M55" s="265">
        <f t="shared" si="16"/>
        <v>742443.5</v>
      </c>
      <c r="N55" s="55">
        <v>0.5</v>
      </c>
      <c r="O55" s="43"/>
      <c r="P55" s="43"/>
      <c r="Q55" s="265"/>
      <c r="R55" s="265"/>
      <c r="S55" s="265"/>
      <c r="T55" s="265">
        <v>742443.5</v>
      </c>
      <c r="U55" s="265"/>
      <c r="V55" s="265"/>
      <c r="W55" s="265"/>
      <c r="X55" s="265"/>
      <c r="Y55" s="265"/>
      <c r="Z55" s="265"/>
      <c r="AA55" s="198" t="b">
        <f t="shared" si="4"/>
        <v>1</v>
      </c>
      <c r="AB55" s="199">
        <f t="shared" si="5"/>
        <v>0.5</v>
      </c>
      <c r="AC55" s="200" t="b">
        <f t="shared" si="6"/>
        <v>1</v>
      </c>
      <c r="AD55" s="200" t="b">
        <f t="shared" si="7"/>
        <v>1</v>
      </c>
    </row>
    <row r="56" spans="1:30" ht="30" customHeight="1">
      <c r="A56" s="232">
        <v>54</v>
      </c>
      <c r="B56" s="49" t="s">
        <v>507</v>
      </c>
      <c r="C56" s="50" t="s">
        <v>83</v>
      </c>
      <c r="D56" s="51" t="s">
        <v>340</v>
      </c>
      <c r="E56" s="51">
        <v>2414021</v>
      </c>
      <c r="F56" s="49" t="s">
        <v>270</v>
      </c>
      <c r="G56" s="49" t="s">
        <v>387</v>
      </c>
      <c r="H56" s="49" t="s">
        <v>48</v>
      </c>
      <c r="I56" s="52">
        <v>0.8</v>
      </c>
      <c r="J56" s="53" t="s">
        <v>630</v>
      </c>
      <c r="K56" s="265">
        <f>L56+M56</f>
        <v>3899931.25</v>
      </c>
      <c r="L56" s="252">
        <v>3119945</v>
      </c>
      <c r="M56" s="253">
        <v>779986.25</v>
      </c>
      <c r="N56" s="55">
        <v>0.8</v>
      </c>
      <c r="O56" s="43"/>
      <c r="P56" s="43"/>
      <c r="Q56" s="265"/>
      <c r="R56" s="265"/>
      <c r="S56" s="265"/>
      <c r="T56" s="265">
        <v>3119945</v>
      </c>
      <c r="U56" s="265"/>
      <c r="V56" s="265"/>
      <c r="W56" s="265"/>
      <c r="X56" s="265"/>
      <c r="Y56" s="265"/>
      <c r="Z56" s="265"/>
      <c r="AA56" s="198" t="b">
        <f t="shared" si="4"/>
        <v>1</v>
      </c>
      <c r="AB56" s="199">
        <f t="shared" si="5"/>
        <v>0.8</v>
      </c>
      <c r="AC56" s="200" t="b">
        <f t="shared" si="6"/>
        <v>1</v>
      </c>
      <c r="AD56" s="200" t="b">
        <f t="shared" si="7"/>
        <v>1</v>
      </c>
    </row>
    <row r="57" spans="1:30" s="201" customFormat="1" ht="49.5" customHeight="1">
      <c r="A57" s="232">
        <v>55</v>
      </c>
      <c r="B57" s="227" t="s">
        <v>642</v>
      </c>
      <c r="C57" s="233"/>
      <c r="D57" s="234" t="s">
        <v>641</v>
      </c>
      <c r="E57" s="234" t="s">
        <v>243</v>
      </c>
      <c r="F57" s="227" t="s">
        <v>197</v>
      </c>
      <c r="G57" s="227" t="s">
        <v>388</v>
      </c>
      <c r="H57" s="227"/>
      <c r="I57" s="235"/>
      <c r="J57" s="236"/>
      <c r="K57" s="237"/>
      <c r="L57" s="230"/>
      <c r="M57" s="237"/>
      <c r="N57" s="231"/>
      <c r="O57" s="238"/>
      <c r="P57" s="238"/>
      <c r="Q57" s="237"/>
      <c r="R57" s="237"/>
      <c r="S57" s="237"/>
      <c r="T57" s="237"/>
      <c r="U57" s="237"/>
      <c r="V57" s="237"/>
      <c r="W57" s="237"/>
      <c r="X57" s="237"/>
      <c r="Y57" s="237"/>
      <c r="Z57" s="237"/>
      <c r="AA57" s="198" t="b">
        <f t="shared" si="4"/>
        <v>1</v>
      </c>
      <c r="AB57" s="199" t="e">
        <f t="shared" si="5"/>
        <v>#DIV/0!</v>
      </c>
      <c r="AC57" s="200" t="e">
        <f t="shared" si="6"/>
        <v>#DIV/0!</v>
      </c>
      <c r="AD57" s="200" t="b">
        <f t="shared" si="7"/>
        <v>1</v>
      </c>
    </row>
    <row r="58" spans="1:30" s="201" customFormat="1" ht="30" customHeight="1">
      <c r="A58" s="232">
        <v>56</v>
      </c>
      <c r="B58" s="227" t="s">
        <v>583</v>
      </c>
      <c r="C58" s="233" t="s">
        <v>70</v>
      </c>
      <c r="D58" s="234" t="s">
        <v>265</v>
      </c>
      <c r="E58" s="234" t="s">
        <v>266</v>
      </c>
      <c r="F58" s="227" t="s">
        <v>211</v>
      </c>
      <c r="G58" s="227" t="s">
        <v>389</v>
      </c>
      <c r="H58" s="227" t="s">
        <v>48</v>
      </c>
      <c r="I58" s="235">
        <v>0.85</v>
      </c>
      <c r="J58" s="236" t="s">
        <v>558</v>
      </c>
      <c r="K58" s="237">
        <v>4051901</v>
      </c>
      <c r="L58" s="230">
        <f>T58+U58+V58</f>
        <v>2500</v>
      </c>
      <c r="M58" s="237">
        <f t="shared" si="16"/>
        <v>4049401</v>
      </c>
      <c r="N58" s="231">
        <v>0.5</v>
      </c>
      <c r="O58" s="238"/>
      <c r="P58" s="238"/>
      <c r="Q58" s="237"/>
      <c r="R58" s="237"/>
      <c r="S58" s="237"/>
      <c r="T58" s="237">
        <v>2500</v>
      </c>
      <c r="U58" s="302">
        <v>0</v>
      </c>
      <c r="V58" s="237"/>
      <c r="W58" s="237"/>
      <c r="X58" s="237"/>
      <c r="Y58" s="237"/>
      <c r="Z58" s="237"/>
      <c r="AA58" s="198" t="b">
        <f t="shared" si="4"/>
        <v>1</v>
      </c>
      <c r="AB58" s="199">
        <f t="shared" si="5"/>
        <v>5.9999999999999995E-4</v>
      </c>
      <c r="AC58" s="200" t="b">
        <f t="shared" si="6"/>
        <v>0</v>
      </c>
      <c r="AD58" s="200" t="b">
        <f t="shared" si="7"/>
        <v>1</v>
      </c>
    </row>
    <row r="59" spans="1:30" ht="30" customHeight="1">
      <c r="A59" s="232">
        <v>57</v>
      </c>
      <c r="B59" s="49" t="s">
        <v>508</v>
      </c>
      <c r="C59" s="50" t="s">
        <v>83</v>
      </c>
      <c r="D59" s="51" t="s">
        <v>123</v>
      </c>
      <c r="E59" s="51" t="s">
        <v>139</v>
      </c>
      <c r="F59" s="49" t="s">
        <v>284</v>
      </c>
      <c r="G59" s="49" t="s">
        <v>390</v>
      </c>
      <c r="H59" s="49" t="s">
        <v>48</v>
      </c>
      <c r="I59" s="52">
        <v>0.41100000000000003</v>
      </c>
      <c r="J59" s="53" t="s">
        <v>177</v>
      </c>
      <c r="K59" s="265">
        <v>1364489</v>
      </c>
      <c r="L59" s="252">
        <v>750468.95000000007</v>
      </c>
      <c r="M59" s="265">
        <f t="shared" si="16"/>
        <v>614020.04999999993</v>
      </c>
      <c r="N59" s="55">
        <v>0.55000000000000004</v>
      </c>
      <c r="O59" s="43"/>
      <c r="P59" s="43"/>
      <c r="Q59" s="265"/>
      <c r="R59" s="265"/>
      <c r="S59" s="265"/>
      <c r="T59" s="265">
        <v>750468.95000000007</v>
      </c>
      <c r="U59" s="265"/>
      <c r="V59" s="265"/>
      <c r="W59" s="265"/>
      <c r="X59" s="265"/>
      <c r="Y59" s="265"/>
      <c r="Z59" s="265"/>
      <c r="AA59" s="198" t="b">
        <f t="shared" si="4"/>
        <v>1</v>
      </c>
      <c r="AB59" s="199">
        <f t="shared" si="5"/>
        <v>0.55000000000000004</v>
      </c>
      <c r="AC59" s="200" t="b">
        <f t="shared" si="6"/>
        <v>1</v>
      </c>
      <c r="AD59" s="200" t="b">
        <f t="shared" si="7"/>
        <v>1</v>
      </c>
    </row>
    <row r="60" spans="1:30" ht="30" customHeight="1">
      <c r="A60" s="232">
        <v>58</v>
      </c>
      <c r="B60" s="49" t="s">
        <v>509</v>
      </c>
      <c r="C60" s="50" t="s">
        <v>83</v>
      </c>
      <c r="D60" s="51" t="s">
        <v>341</v>
      </c>
      <c r="E60" s="51" t="s">
        <v>460</v>
      </c>
      <c r="F60" s="49" t="s">
        <v>231</v>
      </c>
      <c r="G60" s="49" t="s">
        <v>391</v>
      </c>
      <c r="H60" s="49" t="s">
        <v>48</v>
      </c>
      <c r="I60" s="52">
        <v>0.66</v>
      </c>
      <c r="J60" s="53" t="s">
        <v>184</v>
      </c>
      <c r="K60" s="265">
        <f>L60+M60</f>
        <v>549707.33000000007</v>
      </c>
      <c r="L60" s="252">
        <v>263965.5</v>
      </c>
      <c r="M60" s="265">
        <v>285741.83</v>
      </c>
      <c r="N60" s="55">
        <v>0.5</v>
      </c>
      <c r="O60" s="43"/>
      <c r="P60" s="43"/>
      <c r="Q60" s="265"/>
      <c r="R60" s="265"/>
      <c r="S60" s="265"/>
      <c r="T60" s="265">
        <v>263965.5</v>
      </c>
      <c r="U60" s="265"/>
      <c r="V60" s="265"/>
      <c r="W60" s="265"/>
      <c r="X60" s="265"/>
      <c r="Y60" s="265"/>
      <c r="Z60" s="265"/>
      <c r="AA60" s="198" t="b">
        <f t="shared" si="4"/>
        <v>1</v>
      </c>
      <c r="AB60" s="199">
        <f t="shared" si="5"/>
        <v>0.48020000000000002</v>
      </c>
      <c r="AC60" s="200" t="b">
        <f t="shared" si="6"/>
        <v>0</v>
      </c>
      <c r="AD60" s="200" t="b">
        <f t="shared" si="7"/>
        <v>1</v>
      </c>
    </row>
    <row r="61" spans="1:30" ht="30" customHeight="1">
      <c r="A61" s="232">
        <v>59</v>
      </c>
      <c r="B61" s="49" t="s">
        <v>510</v>
      </c>
      <c r="C61" s="50" t="s">
        <v>83</v>
      </c>
      <c r="D61" s="51" t="s">
        <v>341</v>
      </c>
      <c r="E61" s="51">
        <v>2404132</v>
      </c>
      <c r="F61" s="49" t="s">
        <v>231</v>
      </c>
      <c r="G61" s="49" t="s">
        <v>392</v>
      </c>
      <c r="H61" s="49" t="s">
        <v>48</v>
      </c>
      <c r="I61" s="52">
        <v>0.39600000000000002</v>
      </c>
      <c r="J61" s="53" t="s">
        <v>184</v>
      </c>
      <c r="K61" s="265">
        <f>L61+M61</f>
        <v>298495.14</v>
      </c>
      <c r="L61" s="252">
        <v>149247.5</v>
      </c>
      <c r="M61" s="265">
        <v>149247.64000000001</v>
      </c>
      <c r="N61" s="55">
        <v>0.5</v>
      </c>
      <c r="O61" s="43"/>
      <c r="P61" s="43"/>
      <c r="Q61" s="265"/>
      <c r="R61" s="265"/>
      <c r="S61" s="265"/>
      <c r="T61" s="265">
        <v>149247.5</v>
      </c>
      <c r="U61" s="265"/>
      <c r="V61" s="265"/>
      <c r="W61" s="265"/>
      <c r="X61" s="265"/>
      <c r="Y61" s="265"/>
      <c r="Z61" s="265"/>
      <c r="AA61" s="198" t="b">
        <f t="shared" si="4"/>
        <v>1</v>
      </c>
      <c r="AB61" s="199">
        <f t="shared" si="5"/>
        <v>0.5</v>
      </c>
      <c r="AC61" s="200" t="b">
        <f t="shared" si="6"/>
        <v>1</v>
      </c>
      <c r="AD61" s="200" t="b">
        <f t="shared" si="7"/>
        <v>1</v>
      </c>
    </row>
    <row r="62" spans="1:30" ht="30" customHeight="1">
      <c r="A62" s="232">
        <v>60</v>
      </c>
      <c r="B62" s="49" t="s">
        <v>511</v>
      </c>
      <c r="C62" s="50" t="s">
        <v>83</v>
      </c>
      <c r="D62" s="51" t="s">
        <v>302</v>
      </c>
      <c r="E62" s="51">
        <v>2403103</v>
      </c>
      <c r="F62" s="49" t="s">
        <v>191</v>
      </c>
      <c r="G62" s="49" t="s">
        <v>393</v>
      </c>
      <c r="H62" s="49" t="s">
        <v>48</v>
      </c>
      <c r="I62" s="52">
        <v>0.32700000000000001</v>
      </c>
      <c r="J62" s="53" t="s">
        <v>566</v>
      </c>
      <c r="K62" s="265">
        <v>2440026</v>
      </c>
      <c r="L62" s="252">
        <v>1342014.3</v>
      </c>
      <c r="M62" s="265">
        <f t="shared" si="16"/>
        <v>1098011.7</v>
      </c>
      <c r="N62" s="55">
        <v>0.55000000000000004</v>
      </c>
      <c r="O62" s="43"/>
      <c r="P62" s="43"/>
      <c r="Q62" s="265"/>
      <c r="R62" s="265"/>
      <c r="S62" s="265"/>
      <c r="T62" s="265">
        <v>1342014.3</v>
      </c>
      <c r="U62" s="265"/>
      <c r="V62" s="265"/>
      <c r="W62" s="265"/>
      <c r="X62" s="265"/>
      <c r="Y62" s="265"/>
      <c r="Z62" s="265"/>
      <c r="AA62" s="198" t="b">
        <f t="shared" si="4"/>
        <v>1</v>
      </c>
      <c r="AB62" s="199">
        <f t="shared" si="5"/>
        <v>0.55000000000000004</v>
      </c>
      <c r="AC62" s="200" t="b">
        <f t="shared" si="6"/>
        <v>1</v>
      </c>
      <c r="AD62" s="200" t="b">
        <f t="shared" si="7"/>
        <v>1</v>
      </c>
    </row>
    <row r="63" spans="1:30" ht="30" customHeight="1">
      <c r="A63" s="232">
        <v>61</v>
      </c>
      <c r="B63" s="49" t="s">
        <v>512</v>
      </c>
      <c r="C63" s="50" t="s">
        <v>83</v>
      </c>
      <c r="D63" s="51" t="s">
        <v>112</v>
      </c>
      <c r="E63" s="51" t="s">
        <v>254</v>
      </c>
      <c r="F63" s="49" t="s">
        <v>255</v>
      </c>
      <c r="G63" s="49" t="s">
        <v>394</v>
      </c>
      <c r="H63" s="49" t="s">
        <v>169</v>
      </c>
      <c r="I63" s="52">
        <v>0.98899999999999999</v>
      </c>
      <c r="J63" s="53" t="s">
        <v>187</v>
      </c>
      <c r="K63" s="265">
        <v>2520000</v>
      </c>
      <c r="L63" s="252">
        <v>1260000</v>
      </c>
      <c r="M63" s="265">
        <f t="shared" si="16"/>
        <v>1260000</v>
      </c>
      <c r="N63" s="55">
        <v>0.5</v>
      </c>
      <c r="O63" s="43"/>
      <c r="P63" s="43"/>
      <c r="Q63" s="265"/>
      <c r="R63" s="265"/>
      <c r="S63" s="265"/>
      <c r="T63" s="265">
        <v>1260000</v>
      </c>
      <c r="U63" s="265"/>
      <c r="V63" s="265"/>
      <c r="W63" s="265"/>
      <c r="X63" s="265"/>
      <c r="Y63" s="265"/>
      <c r="Z63" s="265"/>
      <c r="AA63" s="198" t="b">
        <f t="shared" si="4"/>
        <v>1</v>
      </c>
      <c r="AB63" s="199">
        <f t="shared" si="5"/>
        <v>0.5</v>
      </c>
      <c r="AC63" s="200" t="b">
        <f t="shared" si="6"/>
        <v>1</v>
      </c>
      <c r="AD63" s="200" t="b">
        <f t="shared" si="7"/>
        <v>1</v>
      </c>
    </row>
    <row r="64" spans="1:30" ht="30" customHeight="1">
      <c r="A64" s="232">
        <v>62</v>
      </c>
      <c r="B64" s="49" t="s">
        <v>513</v>
      </c>
      <c r="C64" s="50" t="s">
        <v>83</v>
      </c>
      <c r="D64" s="51" t="s">
        <v>342</v>
      </c>
      <c r="E64" s="51" t="s">
        <v>461</v>
      </c>
      <c r="F64" s="49" t="s">
        <v>191</v>
      </c>
      <c r="G64" s="49" t="s">
        <v>395</v>
      </c>
      <c r="H64" s="49" t="s">
        <v>48</v>
      </c>
      <c r="I64" s="52">
        <v>0.91</v>
      </c>
      <c r="J64" s="53" t="s">
        <v>180</v>
      </c>
      <c r="K64" s="265">
        <f>L64+M64</f>
        <v>737409.61</v>
      </c>
      <c r="L64" s="252">
        <v>442445.76</v>
      </c>
      <c r="M64" s="265">
        <v>294963.84999999998</v>
      </c>
      <c r="N64" s="55">
        <v>0.6</v>
      </c>
      <c r="O64" s="43"/>
      <c r="P64" s="43"/>
      <c r="Q64" s="265"/>
      <c r="R64" s="265"/>
      <c r="S64" s="265"/>
      <c r="T64" s="265">
        <v>442445.76</v>
      </c>
      <c r="U64" s="265"/>
      <c r="V64" s="265"/>
      <c r="W64" s="265"/>
      <c r="X64" s="265"/>
      <c r="Y64" s="265"/>
      <c r="Z64" s="265"/>
      <c r="AA64" s="198" t="b">
        <f t="shared" si="4"/>
        <v>1</v>
      </c>
      <c r="AB64" s="199">
        <f t="shared" si="5"/>
        <v>0.6</v>
      </c>
      <c r="AC64" s="200" t="b">
        <f t="shared" si="6"/>
        <v>1</v>
      </c>
      <c r="AD64" s="200" t="b">
        <f t="shared" si="7"/>
        <v>1</v>
      </c>
    </row>
    <row r="65" spans="1:30" s="201" customFormat="1" ht="30" customHeight="1">
      <c r="A65" s="232">
        <v>63</v>
      </c>
      <c r="B65" s="227" t="s">
        <v>582</v>
      </c>
      <c r="C65" s="233" t="s">
        <v>70</v>
      </c>
      <c r="D65" s="234" t="s">
        <v>107</v>
      </c>
      <c r="E65" s="234" t="s">
        <v>138</v>
      </c>
      <c r="F65" s="227" t="s">
        <v>483</v>
      </c>
      <c r="G65" s="227" t="s">
        <v>396</v>
      </c>
      <c r="H65" s="227" t="s">
        <v>50</v>
      </c>
      <c r="I65" s="235">
        <v>0.26400000000000001</v>
      </c>
      <c r="J65" s="236" t="s">
        <v>567</v>
      </c>
      <c r="K65" s="237">
        <v>3168730</v>
      </c>
      <c r="L65" s="230">
        <f>T65+U65</f>
        <v>792182.5</v>
      </c>
      <c r="M65" s="237">
        <f t="shared" si="16"/>
        <v>2376547.5</v>
      </c>
      <c r="N65" s="231">
        <v>0.5</v>
      </c>
      <c r="O65" s="238"/>
      <c r="P65" s="238"/>
      <c r="Q65" s="237"/>
      <c r="R65" s="237"/>
      <c r="S65" s="237"/>
      <c r="T65" s="237">
        <v>792182.5</v>
      </c>
      <c r="U65" s="302">
        <v>0</v>
      </c>
      <c r="V65" s="237"/>
      <c r="W65" s="237"/>
      <c r="X65" s="237"/>
      <c r="Y65" s="237"/>
      <c r="Z65" s="237"/>
      <c r="AA65" s="198" t="b">
        <f t="shared" si="4"/>
        <v>1</v>
      </c>
      <c r="AB65" s="199">
        <f t="shared" si="5"/>
        <v>0.25</v>
      </c>
      <c r="AC65" s="200" t="b">
        <f t="shared" si="6"/>
        <v>0</v>
      </c>
      <c r="AD65" s="200" t="b">
        <f t="shared" si="7"/>
        <v>1</v>
      </c>
    </row>
    <row r="66" spans="1:30" s="201" customFormat="1" ht="63" customHeight="1">
      <c r="A66" s="232">
        <v>64</v>
      </c>
      <c r="B66" s="227" t="s">
        <v>624</v>
      </c>
      <c r="C66" s="233"/>
      <c r="D66" s="234" t="s">
        <v>618</v>
      </c>
      <c r="E66" s="234" t="s">
        <v>239</v>
      </c>
      <c r="F66" s="227" t="s">
        <v>240</v>
      </c>
      <c r="G66" s="227" t="s">
        <v>397</v>
      </c>
      <c r="H66" s="227"/>
      <c r="I66" s="235"/>
      <c r="J66" s="236"/>
      <c r="K66" s="237"/>
      <c r="L66" s="230"/>
      <c r="M66" s="237"/>
      <c r="N66" s="231"/>
      <c r="O66" s="238"/>
      <c r="P66" s="238"/>
      <c r="Q66" s="237"/>
      <c r="R66" s="237"/>
      <c r="S66" s="237"/>
      <c r="T66" s="237"/>
      <c r="U66" s="237"/>
      <c r="V66" s="237"/>
      <c r="W66" s="237"/>
      <c r="X66" s="237"/>
      <c r="Y66" s="237"/>
      <c r="Z66" s="237"/>
      <c r="AA66" s="198" t="b">
        <f t="shared" si="4"/>
        <v>1</v>
      </c>
      <c r="AB66" s="199" t="e">
        <f t="shared" si="5"/>
        <v>#DIV/0!</v>
      </c>
      <c r="AC66" s="200" t="e">
        <f t="shared" si="6"/>
        <v>#DIV/0!</v>
      </c>
      <c r="AD66" s="200" t="b">
        <f t="shared" si="7"/>
        <v>1</v>
      </c>
    </row>
    <row r="67" spans="1:30" ht="30" customHeight="1">
      <c r="A67" s="232">
        <v>65</v>
      </c>
      <c r="B67" s="49" t="s">
        <v>514</v>
      </c>
      <c r="C67" s="50" t="s">
        <v>83</v>
      </c>
      <c r="D67" s="51" t="s">
        <v>343</v>
      </c>
      <c r="E67" s="51">
        <v>2405042</v>
      </c>
      <c r="F67" s="49" t="s">
        <v>263</v>
      </c>
      <c r="G67" s="49" t="s">
        <v>398</v>
      </c>
      <c r="H67" s="49" t="s">
        <v>48</v>
      </c>
      <c r="I67" s="52">
        <v>0.46500000000000002</v>
      </c>
      <c r="J67" s="53" t="s">
        <v>565</v>
      </c>
      <c r="K67" s="265">
        <v>1976948</v>
      </c>
      <c r="L67" s="252">
        <v>988474</v>
      </c>
      <c r="M67" s="265">
        <f t="shared" si="16"/>
        <v>988474</v>
      </c>
      <c r="N67" s="55">
        <v>0.5</v>
      </c>
      <c r="O67" s="43"/>
      <c r="P67" s="43"/>
      <c r="Q67" s="265"/>
      <c r="R67" s="265"/>
      <c r="S67" s="265"/>
      <c r="T67" s="265">
        <v>988474</v>
      </c>
      <c r="U67" s="265"/>
      <c r="V67" s="265"/>
      <c r="W67" s="265"/>
      <c r="X67" s="265"/>
      <c r="Y67" s="265"/>
      <c r="Z67" s="265"/>
      <c r="AA67" s="198" t="b">
        <f t="shared" si="4"/>
        <v>1</v>
      </c>
      <c r="AB67" s="199">
        <f t="shared" si="5"/>
        <v>0.5</v>
      </c>
      <c r="AC67" s="200" t="b">
        <f t="shared" si="6"/>
        <v>1</v>
      </c>
      <c r="AD67" s="200" t="b">
        <f t="shared" si="7"/>
        <v>1</v>
      </c>
    </row>
    <row r="68" spans="1:30" ht="30" customHeight="1">
      <c r="A68" s="232">
        <v>66</v>
      </c>
      <c r="B68" s="49" t="s">
        <v>515</v>
      </c>
      <c r="C68" s="50" t="s">
        <v>83</v>
      </c>
      <c r="D68" s="51" t="s">
        <v>271</v>
      </c>
      <c r="E68" s="51" t="s">
        <v>272</v>
      </c>
      <c r="F68" s="49" t="s">
        <v>263</v>
      </c>
      <c r="G68" s="49" t="s">
        <v>399</v>
      </c>
      <c r="H68" s="49" t="s">
        <v>50</v>
      </c>
      <c r="I68" s="52">
        <v>0.45100000000000001</v>
      </c>
      <c r="J68" s="53" t="s">
        <v>568</v>
      </c>
      <c r="K68" s="265">
        <v>1897849.87</v>
      </c>
      <c r="L68" s="252">
        <v>1518279.89</v>
      </c>
      <c r="M68" s="253">
        <f>K68-L68</f>
        <v>379569.98000000021</v>
      </c>
      <c r="N68" s="55">
        <v>0.8</v>
      </c>
      <c r="O68" s="43"/>
      <c r="P68" s="43"/>
      <c r="Q68" s="265"/>
      <c r="R68" s="265"/>
      <c r="S68" s="265"/>
      <c r="T68" s="265">
        <v>1518279.89</v>
      </c>
      <c r="U68" s="265"/>
      <c r="V68" s="265"/>
      <c r="W68" s="265"/>
      <c r="X68" s="265"/>
      <c r="Y68" s="265"/>
      <c r="Z68" s="265"/>
      <c r="AA68" s="198" t="b">
        <f t="shared" si="4"/>
        <v>1</v>
      </c>
      <c r="AB68" s="199">
        <f t="shared" si="5"/>
        <v>0.8</v>
      </c>
      <c r="AC68" s="200" t="b">
        <f t="shared" si="6"/>
        <v>1</v>
      </c>
      <c r="AD68" s="200" t="b">
        <f t="shared" si="7"/>
        <v>1</v>
      </c>
    </row>
    <row r="69" spans="1:30" ht="30" customHeight="1">
      <c r="A69" s="232">
        <v>67</v>
      </c>
      <c r="B69" s="49" t="s">
        <v>516</v>
      </c>
      <c r="C69" s="50" t="s">
        <v>83</v>
      </c>
      <c r="D69" s="51" t="s">
        <v>293</v>
      </c>
      <c r="E69" s="51" t="s">
        <v>294</v>
      </c>
      <c r="F69" s="49" t="s">
        <v>247</v>
      </c>
      <c r="G69" s="49" t="s">
        <v>400</v>
      </c>
      <c r="H69" s="49" t="s">
        <v>50</v>
      </c>
      <c r="I69" s="52">
        <v>0.51600000000000001</v>
      </c>
      <c r="J69" s="53" t="s">
        <v>568</v>
      </c>
      <c r="K69" s="265">
        <v>2123642</v>
      </c>
      <c r="L69" s="252">
        <f>ROUNDDOWN(K69*N69,2)</f>
        <v>1698913.6</v>
      </c>
      <c r="M69" s="253">
        <f>K69-L69</f>
        <v>424728.39999999991</v>
      </c>
      <c r="N69" s="55">
        <v>0.8</v>
      </c>
      <c r="O69" s="43"/>
      <c r="P69" s="43"/>
      <c r="Q69" s="265"/>
      <c r="R69" s="265"/>
      <c r="S69" s="265"/>
      <c r="T69" s="265">
        <v>1698913.6</v>
      </c>
      <c r="U69" s="265"/>
      <c r="V69" s="265"/>
      <c r="W69" s="265"/>
      <c r="X69" s="265"/>
      <c r="Y69" s="265"/>
      <c r="Z69" s="265"/>
      <c r="AA69" s="198" t="b">
        <f t="shared" si="4"/>
        <v>1</v>
      </c>
      <c r="AB69" s="199">
        <f t="shared" si="5"/>
        <v>0.8</v>
      </c>
      <c r="AC69" s="200" t="b">
        <f t="shared" si="6"/>
        <v>1</v>
      </c>
      <c r="AD69" s="200" t="b">
        <f t="shared" si="7"/>
        <v>1</v>
      </c>
    </row>
    <row r="70" spans="1:30" ht="30" customHeight="1">
      <c r="A70" s="232">
        <v>68</v>
      </c>
      <c r="B70" s="49" t="s">
        <v>517</v>
      </c>
      <c r="C70" s="50" t="s">
        <v>83</v>
      </c>
      <c r="D70" s="51" t="s">
        <v>297</v>
      </c>
      <c r="E70" s="51" t="s">
        <v>298</v>
      </c>
      <c r="F70" s="49" t="s">
        <v>299</v>
      </c>
      <c r="G70" s="49" t="s">
        <v>401</v>
      </c>
      <c r="H70" s="49" t="s">
        <v>50</v>
      </c>
      <c r="I70" s="52">
        <v>0.46300000000000002</v>
      </c>
      <c r="J70" s="53" t="s">
        <v>185</v>
      </c>
      <c r="K70" s="265">
        <v>2025531</v>
      </c>
      <c r="L70" s="252">
        <v>1114042.05</v>
      </c>
      <c r="M70" s="265">
        <f t="shared" si="16"/>
        <v>911488.95</v>
      </c>
      <c r="N70" s="55">
        <v>0.55000000000000004</v>
      </c>
      <c r="O70" s="43"/>
      <c r="P70" s="43"/>
      <c r="Q70" s="265"/>
      <c r="R70" s="265"/>
      <c r="S70" s="265"/>
      <c r="T70" s="265">
        <v>1114042.05</v>
      </c>
      <c r="U70" s="265"/>
      <c r="V70" s="265"/>
      <c r="W70" s="265"/>
      <c r="X70" s="265"/>
      <c r="Y70" s="265"/>
      <c r="Z70" s="265"/>
      <c r="AA70" s="198" t="b">
        <f t="shared" ref="AA70:AA118" si="18">L70=SUM(O70:Z70)</f>
        <v>1</v>
      </c>
      <c r="AB70" s="199">
        <f t="shared" ref="AB70:AB118" si="19">ROUND(L70/K70,4)</f>
        <v>0.55000000000000004</v>
      </c>
      <c r="AC70" s="200" t="b">
        <f t="shared" ref="AC70:AC118" si="20">AB70=N70</f>
        <v>1</v>
      </c>
      <c r="AD70" s="200" t="b">
        <f t="shared" ref="AD70:AD118" si="21">K70=L70+M70</f>
        <v>1</v>
      </c>
    </row>
    <row r="71" spans="1:30" s="201" customFormat="1" ht="49.5" customHeight="1">
      <c r="A71" s="232">
        <v>69</v>
      </c>
      <c r="B71" s="227" t="s">
        <v>580</v>
      </c>
      <c r="C71" s="233"/>
      <c r="D71" s="234" t="s">
        <v>651</v>
      </c>
      <c r="E71" s="234" t="s">
        <v>220</v>
      </c>
      <c r="F71" s="227" t="s">
        <v>221</v>
      </c>
      <c r="G71" s="227" t="s">
        <v>402</v>
      </c>
      <c r="H71" s="227"/>
      <c r="I71" s="235"/>
      <c r="J71" s="236"/>
      <c r="K71" s="237"/>
      <c r="L71" s="230"/>
      <c r="M71" s="237"/>
      <c r="N71" s="231"/>
      <c r="O71" s="238"/>
      <c r="P71" s="238"/>
      <c r="Q71" s="237"/>
      <c r="R71" s="237"/>
      <c r="S71" s="237"/>
      <c r="T71" s="237"/>
      <c r="U71" s="237"/>
      <c r="V71" s="237"/>
      <c r="W71" s="237"/>
      <c r="X71" s="237"/>
      <c r="Y71" s="237"/>
      <c r="Z71" s="237"/>
      <c r="AA71" s="198" t="b">
        <f t="shared" si="18"/>
        <v>1</v>
      </c>
      <c r="AB71" s="199" t="e">
        <f t="shared" si="19"/>
        <v>#DIV/0!</v>
      </c>
      <c r="AC71" s="200" t="e">
        <f t="shared" si="20"/>
        <v>#DIV/0!</v>
      </c>
      <c r="AD71" s="200" t="b">
        <f t="shared" si="21"/>
        <v>1</v>
      </c>
    </row>
    <row r="72" spans="1:30" ht="30" customHeight="1">
      <c r="A72" s="232">
        <v>70</v>
      </c>
      <c r="B72" s="49" t="s">
        <v>518</v>
      </c>
      <c r="C72" s="50" t="s">
        <v>83</v>
      </c>
      <c r="D72" s="51" t="s">
        <v>344</v>
      </c>
      <c r="E72" s="51" t="s">
        <v>462</v>
      </c>
      <c r="F72" s="49" t="s">
        <v>299</v>
      </c>
      <c r="G72" s="49" t="s">
        <v>403</v>
      </c>
      <c r="H72" s="49" t="s">
        <v>48</v>
      </c>
      <c r="I72" s="52">
        <v>0.35</v>
      </c>
      <c r="J72" s="53" t="s">
        <v>563</v>
      </c>
      <c r="K72" s="265">
        <v>1098058.77</v>
      </c>
      <c r="L72" s="252">
        <v>658835.26</v>
      </c>
      <c r="M72" s="265">
        <f t="shared" si="16"/>
        <v>439223.51</v>
      </c>
      <c r="N72" s="55">
        <v>0.6</v>
      </c>
      <c r="O72" s="43"/>
      <c r="P72" s="43"/>
      <c r="Q72" s="265"/>
      <c r="R72" s="265"/>
      <c r="S72" s="265"/>
      <c r="T72" s="265">
        <f>L72</f>
        <v>658835.26</v>
      </c>
      <c r="U72" s="265"/>
      <c r="V72" s="265"/>
      <c r="W72" s="265"/>
      <c r="X72" s="265"/>
      <c r="Y72" s="265"/>
      <c r="Z72" s="265"/>
      <c r="AA72" s="198" t="b">
        <f t="shared" si="18"/>
        <v>1</v>
      </c>
      <c r="AB72" s="199">
        <f t="shared" si="19"/>
        <v>0.6</v>
      </c>
      <c r="AC72" s="200" t="b">
        <f t="shared" si="20"/>
        <v>1</v>
      </c>
      <c r="AD72" s="200" t="b">
        <f t="shared" si="21"/>
        <v>1</v>
      </c>
    </row>
    <row r="73" spans="1:30" ht="30" customHeight="1">
      <c r="A73" s="232">
        <v>71</v>
      </c>
      <c r="B73" s="49" t="s">
        <v>519</v>
      </c>
      <c r="C73" s="50" t="s">
        <v>83</v>
      </c>
      <c r="D73" s="51" t="s">
        <v>340</v>
      </c>
      <c r="E73" s="51" t="s">
        <v>463</v>
      </c>
      <c r="F73" s="49" t="s">
        <v>270</v>
      </c>
      <c r="G73" s="49" t="s">
        <v>404</v>
      </c>
      <c r="H73" s="49" t="s">
        <v>48</v>
      </c>
      <c r="I73" s="52">
        <v>0.83</v>
      </c>
      <c r="J73" s="53" t="s">
        <v>629</v>
      </c>
      <c r="K73" s="265">
        <v>4018535.01</v>
      </c>
      <c r="L73" s="252">
        <v>2965746.4</v>
      </c>
      <c r="M73" s="253">
        <v>1052788.6100000001</v>
      </c>
      <c r="N73" s="55">
        <v>0.8</v>
      </c>
      <c r="O73" s="43"/>
      <c r="P73" s="43"/>
      <c r="Q73" s="265"/>
      <c r="R73" s="265"/>
      <c r="S73" s="265"/>
      <c r="T73" s="265">
        <v>2965746.4</v>
      </c>
      <c r="U73" s="265"/>
      <c r="V73" s="265"/>
      <c r="W73" s="265"/>
      <c r="X73" s="265"/>
      <c r="Y73" s="265"/>
      <c r="Z73" s="265"/>
      <c r="AA73" s="198" t="b">
        <f t="shared" si="18"/>
        <v>1</v>
      </c>
      <c r="AB73" s="199">
        <f t="shared" si="19"/>
        <v>0.73799999999999999</v>
      </c>
      <c r="AC73" s="200" t="b">
        <f t="shared" si="20"/>
        <v>0</v>
      </c>
      <c r="AD73" s="200" t="b">
        <f t="shared" si="21"/>
        <v>1</v>
      </c>
    </row>
    <row r="74" spans="1:30" ht="30" customHeight="1">
      <c r="A74" s="232">
        <v>72</v>
      </c>
      <c r="B74" s="49" t="s">
        <v>520</v>
      </c>
      <c r="C74" s="50" t="s">
        <v>83</v>
      </c>
      <c r="D74" s="51" t="s">
        <v>345</v>
      </c>
      <c r="E74" s="51" t="s">
        <v>464</v>
      </c>
      <c r="F74" s="49" t="s">
        <v>221</v>
      </c>
      <c r="G74" s="49" t="s">
        <v>405</v>
      </c>
      <c r="H74" s="49" t="s">
        <v>169</v>
      </c>
      <c r="I74" s="52">
        <v>1.411</v>
      </c>
      <c r="J74" s="53" t="s">
        <v>177</v>
      </c>
      <c r="K74" s="265">
        <v>1631000</v>
      </c>
      <c r="L74" s="252">
        <v>815500</v>
      </c>
      <c r="M74" s="265">
        <f t="shared" si="16"/>
        <v>815500</v>
      </c>
      <c r="N74" s="55">
        <v>0.5</v>
      </c>
      <c r="O74" s="43"/>
      <c r="P74" s="43"/>
      <c r="Q74" s="265"/>
      <c r="R74" s="265"/>
      <c r="S74" s="265"/>
      <c r="T74" s="265">
        <v>815500</v>
      </c>
      <c r="U74" s="265"/>
      <c r="V74" s="265"/>
      <c r="W74" s="265"/>
      <c r="X74" s="265"/>
      <c r="Y74" s="265"/>
      <c r="Z74" s="265"/>
      <c r="AA74" s="198" t="b">
        <f t="shared" si="18"/>
        <v>1</v>
      </c>
      <c r="AB74" s="199">
        <f t="shared" si="19"/>
        <v>0.5</v>
      </c>
      <c r="AC74" s="200" t="b">
        <f t="shared" si="20"/>
        <v>1</v>
      </c>
      <c r="AD74" s="200" t="b">
        <f t="shared" si="21"/>
        <v>1</v>
      </c>
    </row>
    <row r="75" spans="1:30" s="201" customFormat="1" ht="30" customHeight="1">
      <c r="A75" s="232">
        <v>73</v>
      </c>
      <c r="B75" s="227" t="s">
        <v>591</v>
      </c>
      <c r="C75" s="233" t="s">
        <v>70</v>
      </c>
      <c r="D75" s="234" t="s">
        <v>117</v>
      </c>
      <c r="E75" s="234" t="s">
        <v>137</v>
      </c>
      <c r="F75" s="227" t="s">
        <v>212</v>
      </c>
      <c r="G75" s="227" t="s">
        <v>406</v>
      </c>
      <c r="H75" s="227" t="s">
        <v>48</v>
      </c>
      <c r="I75" s="235">
        <v>0.83</v>
      </c>
      <c r="J75" s="53" t="s">
        <v>647</v>
      </c>
      <c r="K75" s="237">
        <v>10259000</v>
      </c>
      <c r="L75" s="230">
        <f>ROUNDDOWN(K75*N75,2)</f>
        <v>5129500</v>
      </c>
      <c r="M75" s="228">
        <f>K75-L75</f>
        <v>5129500</v>
      </c>
      <c r="N75" s="231">
        <v>0.5</v>
      </c>
      <c r="O75" s="238"/>
      <c r="P75" s="238"/>
      <c r="Q75" s="237"/>
      <c r="R75" s="237"/>
      <c r="S75" s="237"/>
      <c r="T75" s="237">
        <v>5129500</v>
      </c>
      <c r="U75" s="237"/>
      <c r="V75" s="237"/>
      <c r="W75" s="237"/>
      <c r="X75" s="237"/>
      <c r="Y75" s="237"/>
      <c r="Z75" s="237"/>
      <c r="AA75" s="198" t="b">
        <f t="shared" si="18"/>
        <v>1</v>
      </c>
      <c r="AB75" s="199">
        <f t="shared" si="19"/>
        <v>0.5</v>
      </c>
      <c r="AC75" s="200" t="b">
        <f t="shared" si="20"/>
        <v>1</v>
      </c>
      <c r="AD75" s="200" t="b">
        <f t="shared" si="21"/>
        <v>1</v>
      </c>
    </row>
    <row r="76" spans="1:30" ht="30" customHeight="1">
      <c r="A76" s="232">
        <v>74</v>
      </c>
      <c r="B76" s="49" t="s">
        <v>521</v>
      </c>
      <c r="C76" s="50" t="s">
        <v>83</v>
      </c>
      <c r="D76" s="51" t="s">
        <v>346</v>
      </c>
      <c r="E76" s="51" t="s">
        <v>465</v>
      </c>
      <c r="F76" s="49" t="s">
        <v>299</v>
      </c>
      <c r="G76" s="49" t="s">
        <v>407</v>
      </c>
      <c r="H76" s="49" t="s">
        <v>50</v>
      </c>
      <c r="I76" s="52">
        <v>0.66</v>
      </c>
      <c r="J76" s="53" t="s">
        <v>569</v>
      </c>
      <c r="K76" s="265">
        <v>3905000</v>
      </c>
      <c r="L76" s="252">
        <v>2147750</v>
      </c>
      <c r="M76" s="265">
        <f t="shared" si="16"/>
        <v>1757250</v>
      </c>
      <c r="N76" s="55">
        <v>0.55000000000000004</v>
      </c>
      <c r="O76" s="43"/>
      <c r="P76" s="43"/>
      <c r="Q76" s="265"/>
      <c r="R76" s="265"/>
      <c r="S76" s="265"/>
      <c r="T76" s="265">
        <v>2147750</v>
      </c>
      <c r="U76" s="265"/>
      <c r="V76" s="265"/>
      <c r="W76" s="265"/>
      <c r="X76" s="265"/>
      <c r="Y76" s="265"/>
      <c r="Z76" s="265"/>
      <c r="AA76" s="198" t="b">
        <f t="shared" si="18"/>
        <v>1</v>
      </c>
      <c r="AB76" s="199">
        <f t="shared" si="19"/>
        <v>0.55000000000000004</v>
      </c>
      <c r="AC76" s="200" t="b">
        <f t="shared" si="20"/>
        <v>1</v>
      </c>
      <c r="AD76" s="200" t="b">
        <f t="shared" si="21"/>
        <v>1</v>
      </c>
    </row>
    <row r="77" spans="1:30" s="201" customFormat="1" ht="44.25" customHeight="1">
      <c r="A77" s="232">
        <v>75</v>
      </c>
      <c r="B77" s="227" t="s">
        <v>643</v>
      </c>
      <c r="C77" s="233"/>
      <c r="D77" s="234" t="s">
        <v>641</v>
      </c>
      <c r="E77" s="234">
        <v>2413062</v>
      </c>
      <c r="F77" s="227" t="s">
        <v>197</v>
      </c>
      <c r="G77" s="227" t="s">
        <v>408</v>
      </c>
      <c r="H77" s="227"/>
      <c r="I77" s="235"/>
      <c r="J77" s="236"/>
      <c r="K77" s="237"/>
      <c r="L77" s="230"/>
      <c r="M77" s="237"/>
      <c r="N77" s="231"/>
      <c r="O77" s="238"/>
      <c r="P77" s="238"/>
      <c r="Q77" s="237"/>
      <c r="R77" s="237"/>
      <c r="S77" s="237"/>
      <c r="T77" s="237"/>
      <c r="U77" s="237"/>
      <c r="V77" s="237"/>
      <c r="W77" s="237"/>
      <c r="X77" s="237"/>
      <c r="Y77" s="237"/>
      <c r="Z77" s="237"/>
      <c r="AA77" s="198" t="b">
        <f t="shared" si="18"/>
        <v>1</v>
      </c>
      <c r="AB77" s="199" t="e">
        <f t="shared" si="19"/>
        <v>#DIV/0!</v>
      </c>
      <c r="AC77" s="200" t="e">
        <f t="shared" si="20"/>
        <v>#DIV/0!</v>
      </c>
      <c r="AD77" s="200" t="b">
        <f t="shared" si="21"/>
        <v>1</v>
      </c>
    </row>
    <row r="78" spans="1:30" s="224" customFormat="1" ht="55.5" customHeight="1">
      <c r="A78" s="232">
        <v>76</v>
      </c>
      <c r="B78" s="49" t="s">
        <v>522</v>
      </c>
      <c r="C78" s="50"/>
      <c r="D78" s="51" t="s">
        <v>598</v>
      </c>
      <c r="E78" s="51" t="s">
        <v>466</v>
      </c>
      <c r="F78" s="49" t="s">
        <v>211</v>
      </c>
      <c r="G78" s="49" t="s">
        <v>409</v>
      </c>
      <c r="H78" s="49"/>
      <c r="I78" s="52"/>
      <c r="J78" s="53"/>
      <c r="K78" s="265"/>
      <c r="L78" s="252"/>
      <c r="M78" s="265"/>
      <c r="N78" s="55"/>
      <c r="O78" s="43"/>
      <c r="P78" s="43"/>
      <c r="Q78" s="265"/>
      <c r="R78" s="265"/>
      <c r="S78" s="265"/>
      <c r="T78" s="265"/>
      <c r="U78" s="265"/>
      <c r="V78" s="265"/>
      <c r="W78" s="265"/>
      <c r="X78" s="265"/>
      <c r="Y78" s="265"/>
      <c r="Z78" s="265"/>
      <c r="AA78" s="198" t="b">
        <f t="shared" si="18"/>
        <v>1</v>
      </c>
      <c r="AB78" s="199" t="e">
        <f t="shared" si="19"/>
        <v>#DIV/0!</v>
      </c>
      <c r="AC78" s="200" t="e">
        <f t="shared" si="20"/>
        <v>#DIV/0!</v>
      </c>
      <c r="AD78" s="200" t="b">
        <f t="shared" si="21"/>
        <v>1</v>
      </c>
    </row>
    <row r="79" spans="1:30" ht="30" customHeight="1">
      <c r="A79" s="232">
        <v>77</v>
      </c>
      <c r="B79" s="49" t="s">
        <v>523</v>
      </c>
      <c r="C79" s="50" t="s">
        <v>83</v>
      </c>
      <c r="D79" s="51" t="s">
        <v>324</v>
      </c>
      <c r="E79" s="51" t="s">
        <v>325</v>
      </c>
      <c r="F79" s="49" t="s">
        <v>247</v>
      </c>
      <c r="G79" s="49" t="s">
        <v>410</v>
      </c>
      <c r="H79" s="49" t="s">
        <v>50</v>
      </c>
      <c r="I79" s="52">
        <v>0.185</v>
      </c>
      <c r="J79" s="53" t="s">
        <v>187</v>
      </c>
      <c r="K79" s="265">
        <v>792810.19</v>
      </c>
      <c r="L79" s="252">
        <v>396405</v>
      </c>
      <c r="M79" s="265">
        <v>396405.19</v>
      </c>
      <c r="N79" s="55">
        <v>0.5</v>
      </c>
      <c r="O79" s="43"/>
      <c r="P79" s="43"/>
      <c r="Q79" s="265"/>
      <c r="R79" s="265"/>
      <c r="S79" s="265"/>
      <c r="T79" s="265">
        <f>L79</f>
        <v>396405</v>
      </c>
      <c r="U79" s="265"/>
      <c r="V79" s="265"/>
      <c r="W79" s="265"/>
      <c r="X79" s="265"/>
      <c r="Y79" s="265"/>
      <c r="Z79" s="265"/>
      <c r="AA79" s="198" t="b">
        <f t="shared" si="18"/>
        <v>1</v>
      </c>
      <c r="AB79" s="199">
        <f t="shared" si="19"/>
        <v>0.5</v>
      </c>
      <c r="AC79" s="200" t="b">
        <f t="shared" si="20"/>
        <v>1</v>
      </c>
      <c r="AD79" s="200" t="b">
        <f t="shared" si="21"/>
        <v>1</v>
      </c>
    </row>
    <row r="80" spans="1:30" ht="30" customHeight="1">
      <c r="A80" s="232">
        <v>78</v>
      </c>
      <c r="B80" s="49" t="s">
        <v>524</v>
      </c>
      <c r="C80" s="50" t="s">
        <v>83</v>
      </c>
      <c r="D80" s="51" t="s">
        <v>347</v>
      </c>
      <c r="E80" s="51" t="s">
        <v>467</v>
      </c>
      <c r="F80" s="49" t="s">
        <v>484</v>
      </c>
      <c r="G80" s="49" t="s">
        <v>411</v>
      </c>
      <c r="H80" s="49" t="s">
        <v>50</v>
      </c>
      <c r="I80" s="52">
        <v>0.13200000000000001</v>
      </c>
      <c r="J80" s="53" t="s">
        <v>175</v>
      </c>
      <c r="K80" s="265">
        <v>2344240.9</v>
      </c>
      <c r="L80" s="252">
        <v>1172120.45</v>
      </c>
      <c r="M80" s="265">
        <f t="shared" si="16"/>
        <v>1172120.45</v>
      </c>
      <c r="N80" s="55">
        <v>0.5</v>
      </c>
      <c r="O80" s="43"/>
      <c r="P80" s="43"/>
      <c r="Q80" s="265"/>
      <c r="R80" s="265"/>
      <c r="S80" s="265"/>
      <c r="T80" s="265">
        <v>1172120.45</v>
      </c>
      <c r="U80" s="265"/>
      <c r="V80" s="265"/>
      <c r="W80" s="265"/>
      <c r="X80" s="265"/>
      <c r="Y80" s="265"/>
      <c r="Z80" s="265"/>
      <c r="AA80" s="198" t="b">
        <f t="shared" si="18"/>
        <v>1</v>
      </c>
      <c r="AB80" s="199">
        <f t="shared" si="19"/>
        <v>0.5</v>
      </c>
      <c r="AC80" s="200" t="b">
        <f t="shared" si="20"/>
        <v>1</v>
      </c>
      <c r="AD80" s="200" t="b">
        <f t="shared" si="21"/>
        <v>1</v>
      </c>
    </row>
    <row r="81" spans="1:30" s="201" customFormat="1" ht="30" customHeight="1">
      <c r="A81" s="232">
        <v>79</v>
      </c>
      <c r="B81" s="227" t="s">
        <v>592</v>
      </c>
      <c r="C81" s="233" t="s">
        <v>70</v>
      </c>
      <c r="D81" s="234" t="s">
        <v>274</v>
      </c>
      <c r="E81" s="234" t="s">
        <v>275</v>
      </c>
      <c r="F81" s="227" t="s">
        <v>213</v>
      </c>
      <c r="G81" s="227" t="s">
        <v>412</v>
      </c>
      <c r="H81" s="227" t="s">
        <v>48</v>
      </c>
      <c r="I81" s="235">
        <v>0.34600000000000003</v>
      </c>
      <c r="J81" s="236" t="s">
        <v>570</v>
      </c>
      <c r="K81" s="237">
        <v>1931830</v>
      </c>
      <c r="L81" s="230">
        <f>ROUNDDOWN(K81*N81,2)</f>
        <v>1545464</v>
      </c>
      <c r="M81" s="228">
        <f>K81-L81</f>
        <v>386366</v>
      </c>
      <c r="N81" s="231">
        <v>0.8</v>
      </c>
      <c r="O81" s="238"/>
      <c r="P81" s="238"/>
      <c r="Q81" s="237"/>
      <c r="R81" s="237"/>
      <c r="S81" s="237"/>
      <c r="T81" s="237">
        <f>1545464-V81</f>
        <v>660449</v>
      </c>
      <c r="U81" s="237">
        <v>0</v>
      </c>
      <c r="V81" s="237">
        <v>885015</v>
      </c>
      <c r="W81" s="237"/>
      <c r="X81" s="237"/>
      <c r="Y81" s="237"/>
      <c r="Z81" s="237"/>
      <c r="AA81" s="198" t="b">
        <f t="shared" si="18"/>
        <v>1</v>
      </c>
      <c r="AB81" s="199">
        <f t="shared" si="19"/>
        <v>0.8</v>
      </c>
      <c r="AC81" s="200" t="b">
        <f t="shared" si="20"/>
        <v>1</v>
      </c>
      <c r="AD81" s="200" t="b">
        <f t="shared" si="21"/>
        <v>1</v>
      </c>
    </row>
    <row r="82" spans="1:30" s="201" customFormat="1" ht="30" customHeight="1">
      <c r="A82" s="232">
        <v>80</v>
      </c>
      <c r="B82" s="227" t="s">
        <v>593</v>
      </c>
      <c r="C82" s="233" t="s">
        <v>70</v>
      </c>
      <c r="D82" s="234" t="s">
        <v>225</v>
      </c>
      <c r="E82" s="234" t="s">
        <v>226</v>
      </c>
      <c r="F82" s="227" t="s">
        <v>227</v>
      </c>
      <c r="G82" s="227" t="s">
        <v>413</v>
      </c>
      <c r="H82" s="227" t="s">
        <v>48</v>
      </c>
      <c r="I82" s="235">
        <v>0.29099999999999998</v>
      </c>
      <c r="J82" s="236" t="s">
        <v>658</v>
      </c>
      <c r="K82" s="237">
        <v>1995092.28</v>
      </c>
      <c r="L82" s="230">
        <v>1510417.6</v>
      </c>
      <c r="M82" s="228">
        <f>K82-L82</f>
        <v>484674.67999999993</v>
      </c>
      <c r="N82" s="231">
        <v>0.8</v>
      </c>
      <c r="O82" s="238"/>
      <c r="P82" s="238"/>
      <c r="Q82" s="237"/>
      <c r="R82" s="237"/>
      <c r="S82" s="237"/>
      <c r="T82" s="237">
        <v>1510417.6</v>
      </c>
      <c r="U82" s="237"/>
      <c r="V82" s="237"/>
      <c r="W82" s="237"/>
      <c r="X82" s="237"/>
      <c r="Y82" s="237"/>
      <c r="Z82" s="237"/>
      <c r="AA82" s="198" t="b">
        <f t="shared" si="18"/>
        <v>1</v>
      </c>
      <c r="AB82" s="199">
        <f t="shared" si="19"/>
        <v>0.7571</v>
      </c>
      <c r="AC82" s="200" t="b">
        <f t="shared" si="20"/>
        <v>0</v>
      </c>
      <c r="AD82" s="200" t="b">
        <f t="shared" si="21"/>
        <v>1</v>
      </c>
    </row>
    <row r="83" spans="1:30" ht="30" customHeight="1">
      <c r="A83" s="232">
        <v>81</v>
      </c>
      <c r="B83" s="49" t="s">
        <v>525</v>
      </c>
      <c r="C83" s="50" t="s">
        <v>83</v>
      </c>
      <c r="D83" s="51" t="s">
        <v>348</v>
      </c>
      <c r="E83" s="51" t="s">
        <v>468</v>
      </c>
      <c r="F83" s="49" t="s">
        <v>208</v>
      </c>
      <c r="G83" s="49" t="s">
        <v>414</v>
      </c>
      <c r="H83" s="49" t="s">
        <v>48</v>
      </c>
      <c r="I83" s="52">
        <v>1.107</v>
      </c>
      <c r="J83" s="53" t="s">
        <v>187</v>
      </c>
      <c r="K83" s="265">
        <v>1577860.18</v>
      </c>
      <c r="L83" s="252">
        <v>865808.35000000009</v>
      </c>
      <c r="M83" s="265">
        <f t="shared" si="16"/>
        <v>712051.82999999984</v>
      </c>
      <c r="N83" s="55">
        <v>0.55000000000000004</v>
      </c>
      <c r="O83" s="43"/>
      <c r="P83" s="43"/>
      <c r="Q83" s="265"/>
      <c r="R83" s="265"/>
      <c r="S83" s="265"/>
      <c r="T83" s="265">
        <v>865808.35000000009</v>
      </c>
      <c r="U83" s="265"/>
      <c r="V83" s="265"/>
      <c r="W83" s="265"/>
      <c r="X83" s="265"/>
      <c r="Y83" s="265"/>
      <c r="Z83" s="265"/>
      <c r="AA83" s="198" t="b">
        <f t="shared" si="18"/>
        <v>1</v>
      </c>
      <c r="AB83" s="199">
        <f t="shared" si="19"/>
        <v>0.54869999999999997</v>
      </c>
      <c r="AC83" s="200" t="b">
        <f t="shared" si="20"/>
        <v>0</v>
      </c>
      <c r="AD83" s="200" t="b">
        <f t="shared" si="21"/>
        <v>1</v>
      </c>
    </row>
    <row r="84" spans="1:30" ht="30" customHeight="1">
      <c r="A84" s="232">
        <v>82</v>
      </c>
      <c r="B84" s="49" t="s">
        <v>526</v>
      </c>
      <c r="C84" s="50" t="s">
        <v>83</v>
      </c>
      <c r="D84" s="51" t="s">
        <v>323</v>
      </c>
      <c r="E84" s="51" t="s">
        <v>469</v>
      </c>
      <c r="F84" s="49" t="s">
        <v>247</v>
      </c>
      <c r="G84" s="49" t="s">
        <v>415</v>
      </c>
      <c r="H84" s="49" t="s">
        <v>48</v>
      </c>
      <c r="I84" s="52">
        <v>0.35499999999999998</v>
      </c>
      <c r="J84" s="53" t="s">
        <v>177</v>
      </c>
      <c r="K84" s="265">
        <v>9425908</v>
      </c>
      <c r="L84" s="252">
        <v>4712954</v>
      </c>
      <c r="M84" s="265">
        <f t="shared" si="16"/>
        <v>4712954</v>
      </c>
      <c r="N84" s="55">
        <v>0.5</v>
      </c>
      <c r="O84" s="43"/>
      <c r="P84" s="43"/>
      <c r="Q84" s="265"/>
      <c r="R84" s="265"/>
      <c r="S84" s="265"/>
      <c r="T84" s="265">
        <v>4712954</v>
      </c>
      <c r="U84" s="265"/>
      <c r="V84" s="265"/>
      <c r="W84" s="265"/>
      <c r="X84" s="265"/>
      <c r="Y84" s="265"/>
      <c r="Z84" s="265"/>
      <c r="AA84" s="198" t="b">
        <f t="shared" si="18"/>
        <v>1</v>
      </c>
      <c r="AB84" s="199">
        <f t="shared" si="19"/>
        <v>0.5</v>
      </c>
      <c r="AC84" s="200" t="b">
        <f t="shared" si="20"/>
        <v>1</v>
      </c>
      <c r="AD84" s="200" t="b">
        <f t="shared" si="21"/>
        <v>1</v>
      </c>
    </row>
    <row r="85" spans="1:30" s="201" customFormat="1" ht="30" customHeight="1">
      <c r="A85" s="232">
        <v>83</v>
      </c>
      <c r="B85" s="227" t="s">
        <v>577</v>
      </c>
      <c r="C85" s="233" t="s">
        <v>70</v>
      </c>
      <c r="D85" s="234" t="s">
        <v>49</v>
      </c>
      <c r="E85" s="234">
        <v>2464011</v>
      </c>
      <c r="F85" s="227" t="s">
        <v>261</v>
      </c>
      <c r="G85" s="227" t="s">
        <v>416</v>
      </c>
      <c r="H85" s="227" t="s">
        <v>48</v>
      </c>
      <c r="I85" s="235">
        <v>0.90100000000000002</v>
      </c>
      <c r="J85" s="236" t="s">
        <v>562</v>
      </c>
      <c r="K85" s="237">
        <v>6544131.3200000003</v>
      </c>
      <c r="L85" s="230">
        <f>T85+U85</f>
        <v>2043968</v>
      </c>
      <c r="M85" s="237">
        <f t="shared" si="16"/>
        <v>4500163.32</v>
      </c>
      <c r="N85" s="231">
        <v>0.5</v>
      </c>
      <c r="O85" s="238"/>
      <c r="P85" s="238"/>
      <c r="Q85" s="237"/>
      <c r="R85" s="237"/>
      <c r="S85" s="237"/>
      <c r="T85" s="237">
        <v>2043968</v>
      </c>
      <c r="U85" s="302">
        <v>0</v>
      </c>
      <c r="V85" s="237"/>
      <c r="W85" s="237"/>
      <c r="X85" s="237"/>
      <c r="Y85" s="237"/>
      <c r="Z85" s="237"/>
      <c r="AA85" s="198" t="b">
        <f t="shared" si="18"/>
        <v>1</v>
      </c>
      <c r="AB85" s="199">
        <f t="shared" si="19"/>
        <v>0.31230000000000002</v>
      </c>
      <c r="AC85" s="200" t="b">
        <f t="shared" si="20"/>
        <v>0</v>
      </c>
      <c r="AD85" s="200" t="b">
        <f t="shared" si="21"/>
        <v>1</v>
      </c>
    </row>
    <row r="86" spans="1:30" ht="30" customHeight="1">
      <c r="A86" s="232">
        <v>84</v>
      </c>
      <c r="B86" s="49" t="s">
        <v>527</v>
      </c>
      <c r="C86" s="50" t="s">
        <v>83</v>
      </c>
      <c r="D86" s="51" t="s">
        <v>297</v>
      </c>
      <c r="E86" s="51" t="s">
        <v>298</v>
      </c>
      <c r="F86" s="49" t="s">
        <v>299</v>
      </c>
      <c r="G86" s="49" t="s">
        <v>417</v>
      </c>
      <c r="H86" s="49" t="s">
        <v>48</v>
      </c>
      <c r="I86" s="52">
        <v>0.28100000000000003</v>
      </c>
      <c r="J86" s="53" t="s">
        <v>185</v>
      </c>
      <c r="K86" s="265">
        <f>L86+M86</f>
        <v>697481.08000000007</v>
      </c>
      <c r="L86" s="252">
        <v>395751.2</v>
      </c>
      <c r="M86" s="253">
        <v>301729.88</v>
      </c>
      <c r="N86" s="55">
        <v>0.8</v>
      </c>
      <c r="O86" s="43"/>
      <c r="P86" s="43"/>
      <c r="Q86" s="265"/>
      <c r="R86" s="265"/>
      <c r="S86" s="265"/>
      <c r="T86" s="265">
        <v>395751.2</v>
      </c>
      <c r="U86" s="265"/>
      <c r="V86" s="265"/>
      <c r="W86" s="265"/>
      <c r="X86" s="265"/>
      <c r="Y86" s="265"/>
      <c r="Z86" s="265"/>
      <c r="AA86" s="198" t="b">
        <f t="shared" si="18"/>
        <v>1</v>
      </c>
      <c r="AB86" s="199">
        <f t="shared" si="19"/>
        <v>0.56740000000000002</v>
      </c>
      <c r="AC86" s="200" t="b">
        <f t="shared" si="20"/>
        <v>0</v>
      </c>
      <c r="AD86" s="200" t="b">
        <f t="shared" si="21"/>
        <v>1</v>
      </c>
    </row>
    <row r="87" spans="1:30" s="201" customFormat="1" ht="30" customHeight="1">
      <c r="A87" s="232">
        <v>85</v>
      </c>
      <c r="B87" s="227" t="s">
        <v>594</v>
      </c>
      <c r="C87" s="233" t="s">
        <v>70</v>
      </c>
      <c r="D87" s="234" t="s">
        <v>279</v>
      </c>
      <c r="E87" s="234" t="s">
        <v>280</v>
      </c>
      <c r="F87" s="227" t="s">
        <v>281</v>
      </c>
      <c r="G87" s="227" t="s">
        <v>418</v>
      </c>
      <c r="H87" s="227" t="s">
        <v>50</v>
      </c>
      <c r="I87" s="235">
        <v>0.45100000000000001</v>
      </c>
      <c r="J87" s="236" t="s">
        <v>179</v>
      </c>
      <c r="K87" s="237">
        <v>1482315</v>
      </c>
      <c r="L87" s="230">
        <f>ROUNDDOWN(K87*N87,2)</f>
        <v>1037620.5</v>
      </c>
      <c r="M87" s="228">
        <f>K87-L87</f>
        <v>444694.5</v>
      </c>
      <c r="N87" s="231">
        <v>0.7</v>
      </c>
      <c r="O87" s="238"/>
      <c r="P87" s="238"/>
      <c r="Q87" s="237"/>
      <c r="R87" s="237"/>
      <c r="S87" s="237"/>
      <c r="T87" s="237">
        <v>1037620.5</v>
      </c>
      <c r="U87" s="237"/>
      <c r="V87" s="237"/>
      <c r="W87" s="237"/>
      <c r="X87" s="237"/>
      <c r="Y87" s="237"/>
      <c r="Z87" s="237"/>
      <c r="AA87" s="198" t="b">
        <f t="shared" si="18"/>
        <v>1</v>
      </c>
      <c r="AB87" s="199">
        <f t="shared" si="19"/>
        <v>0.7</v>
      </c>
      <c r="AC87" s="200" t="b">
        <f t="shared" si="20"/>
        <v>1</v>
      </c>
      <c r="AD87" s="200" t="b">
        <f t="shared" si="21"/>
        <v>1</v>
      </c>
    </row>
    <row r="88" spans="1:30" ht="30" customHeight="1">
      <c r="A88" s="232">
        <v>86</v>
      </c>
      <c r="B88" s="49" t="s">
        <v>528</v>
      </c>
      <c r="C88" s="50" t="s">
        <v>83</v>
      </c>
      <c r="D88" s="51" t="s">
        <v>219</v>
      </c>
      <c r="E88" s="51">
        <v>2413041</v>
      </c>
      <c r="F88" s="49" t="s">
        <v>197</v>
      </c>
      <c r="G88" s="49" t="s">
        <v>419</v>
      </c>
      <c r="H88" s="49" t="s">
        <v>48</v>
      </c>
      <c r="I88" s="52">
        <v>0.36699999999999999</v>
      </c>
      <c r="J88" s="53" t="s">
        <v>184</v>
      </c>
      <c r="K88" s="265">
        <v>4339947</v>
      </c>
      <c r="L88" s="252">
        <v>2169973.5</v>
      </c>
      <c r="M88" s="265">
        <f t="shared" si="16"/>
        <v>2169973.5</v>
      </c>
      <c r="N88" s="55">
        <v>0.5</v>
      </c>
      <c r="O88" s="43"/>
      <c r="P88" s="43"/>
      <c r="Q88" s="265"/>
      <c r="R88" s="265"/>
      <c r="S88" s="265"/>
      <c r="T88" s="265">
        <v>2169973.5</v>
      </c>
      <c r="U88" s="265"/>
      <c r="V88" s="265"/>
      <c r="W88" s="265"/>
      <c r="X88" s="265"/>
      <c r="Y88" s="265"/>
      <c r="Z88" s="265"/>
      <c r="AA88" s="198" t="b">
        <f t="shared" si="18"/>
        <v>1</v>
      </c>
      <c r="AB88" s="199">
        <f t="shared" si="19"/>
        <v>0.5</v>
      </c>
      <c r="AC88" s="200" t="b">
        <f t="shared" si="20"/>
        <v>1</v>
      </c>
      <c r="AD88" s="200" t="b">
        <f t="shared" si="21"/>
        <v>1</v>
      </c>
    </row>
    <row r="89" spans="1:30" ht="30" customHeight="1">
      <c r="A89" s="232">
        <v>87</v>
      </c>
      <c r="B89" s="49" t="s">
        <v>529</v>
      </c>
      <c r="C89" s="50" t="s">
        <v>83</v>
      </c>
      <c r="D89" s="51" t="s">
        <v>331</v>
      </c>
      <c r="E89" s="51" t="s">
        <v>262</v>
      </c>
      <c r="F89" s="49" t="s">
        <v>247</v>
      </c>
      <c r="G89" s="49" t="s">
        <v>420</v>
      </c>
      <c r="H89" s="49" t="s">
        <v>48</v>
      </c>
      <c r="I89" s="52">
        <v>0.24</v>
      </c>
      <c r="J89" s="53" t="s">
        <v>182</v>
      </c>
      <c r="K89" s="265">
        <v>2657802</v>
      </c>
      <c r="L89" s="252">
        <v>1328901</v>
      </c>
      <c r="M89" s="265">
        <f t="shared" si="16"/>
        <v>1328901</v>
      </c>
      <c r="N89" s="55">
        <v>0.5</v>
      </c>
      <c r="O89" s="43"/>
      <c r="P89" s="43"/>
      <c r="Q89" s="265"/>
      <c r="R89" s="265"/>
      <c r="S89" s="265"/>
      <c r="T89" s="265">
        <v>1328901</v>
      </c>
      <c r="U89" s="265"/>
      <c r="V89" s="265"/>
      <c r="W89" s="265"/>
      <c r="X89" s="265"/>
      <c r="Y89" s="265"/>
      <c r="Z89" s="265"/>
      <c r="AA89" s="198" t="b">
        <f t="shared" si="18"/>
        <v>1</v>
      </c>
      <c r="AB89" s="199">
        <f t="shared" si="19"/>
        <v>0.5</v>
      </c>
      <c r="AC89" s="200" t="b">
        <f t="shared" si="20"/>
        <v>1</v>
      </c>
      <c r="AD89" s="200" t="b">
        <f t="shared" si="21"/>
        <v>1</v>
      </c>
    </row>
    <row r="90" spans="1:30" s="201" customFormat="1" ht="57" customHeight="1">
      <c r="A90" s="232">
        <v>88</v>
      </c>
      <c r="B90" s="227" t="s">
        <v>640</v>
      </c>
      <c r="C90" s="233"/>
      <c r="D90" s="234" t="s">
        <v>639</v>
      </c>
      <c r="E90" s="234" t="s">
        <v>470</v>
      </c>
      <c r="F90" s="227" t="s">
        <v>191</v>
      </c>
      <c r="G90" s="227" t="s">
        <v>421</v>
      </c>
      <c r="H90" s="227"/>
      <c r="I90" s="235"/>
      <c r="J90" s="236"/>
      <c r="K90" s="237"/>
      <c r="L90" s="230"/>
      <c r="M90" s="237"/>
      <c r="N90" s="231"/>
      <c r="O90" s="238"/>
      <c r="P90" s="238"/>
      <c r="Q90" s="237"/>
      <c r="R90" s="237"/>
      <c r="S90" s="237"/>
      <c r="T90" s="237"/>
      <c r="U90" s="237"/>
      <c r="V90" s="237"/>
      <c r="W90" s="237"/>
      <c r="X90" s="237"/>
      <c r="Y90" s="237"/>
      <c r="Z90" s="237"/>
      <c r="AA90" s="198" t="b">
        <f t="shared" si="18"/>
        <v>1</v>
      </c>
      <c r="AB90" s="199" t="e">
        <f t="shared" si="19"/>
        <v>#DIV/0!</v>
      </c>
      <c r="AC90" s="200" t="e">
        <f t="shared" si="20"/>
        <v>#DIV/0!</v>
      </c>
      <c r="AD90" s="200" t="b">
        <f t="shared" si="21"/>
        <v>1</v>
      </c>
    </row>
    <row r="91" spans="1:30" ht="30" customHeight="1">
      <c r="A91" s="232">
        <v>89</v>
      </c>
      <c r="B91" s="49" t="s">
        <v>636</v>
      </c>
      <c r="C91" s="50" t="s">
        <v>83</v>
      </c>
      <c r="D91" s="51" t="s">
        <v>349</v>
      </c>
      <c r="E91" s="51" t="s">
        <v>471</v>
      </c>
      <c r="F91" s="49" t="s">
        <v>191</v>
      </c>
      <c r="G91" s="49" t="s">
        <v>422</v>
      </c>
      <c r="H91" s="49" t="s">
        <v>48</v>
      </c>
      <c r="I91" s="52">
        <v>0.999</v>
      </c>
      <c r="J91" s="53" t="s">
        <v>185</v>
      </c>
      <c r="K91" s="265">
        <v>3034236</v>
      </c>
      <c r="L91" s="252">
        <v>1820541.5999999999</v>
      </c>
      <c r="M91" s="265">
        <f t="shared" si="16"/>
        <v>1213694.4000000001</v>
      </c>
      <c r="N91" s="55">
        <v>0.6</v>
      </c>
      <c r="O91" s="43"/>
      <c r="P91" s="43"/>
      <c r="Q91" s="265"/>
      <c r="R91" s="265"/>
      <c r="S91" s="265"/>
      <c r="T91" s="265">
        <v>1820541.5999999999</v>
      </c>
      <c r="U91" s="265"/>
      <c r="V91" s="265"/>
      <c r="W91" s="265"/>
      <c r="X91" s="265"/>
      <c r="Y91" s="265"/>
      <c r="Z91" s="265"/>
      <c r="AA91" s="198" t="b">
        <f t="shared" si="18"/>
        <v>1</v>
      </c>
      <c r="AB91" s="199">
        <f t="shared" si="19"/>
        <v>0.6</v>
      </c>
      <c r="AC91" s="200" t="b">
        <f t="shared" si="20"/>
        <v>1</v>
      </c>
      <c r="AD91" s="200" t="b">
        <f t="shared" si="21"/>
        <v>1</v>
      </c>
    </row>
    <row r="92" spans="1:30" ht="30" customHeight="1">
      <c r="A92" s="232">
        <v>90</v>
      </c>
      <c r="B92" s="49" t="s">
        <v>530</v>
      </c>
      <c r="C92" s="50" t="s">
        <v>83</v>
      </c>
      <c r="D92" s="51" t="s">
        <v>350</v>
      </c>
      <c r="E92" s="51" t="s">
        <v>472</v>
      </c>
      <c r="F92" s="49" t="s">
        <v>191</v>
      </c>
      <c r="G92" s="49" t="s">
        <v>423</v>
      </c>
      <c r="H92" s="49" t="s">
        <v>169</v>
      </c>
      <c r="I92" s="52">
        <v>0.98</v>
      </c>
      <c r="J92" s="53" t="s">
        <v>181</v>
      </c>
      <c r="K92" s="265">
        <v>1242503.5</v>
      </c>
      <c r="L92" s="252">
        <v>745502</v>
      </c>
      <c r="M92" s="265">
        <f t="shared" si="16"/>
        <v>497001.5</v>
      </c>
      <c r="N92" s="55">
        <v>0.6</v>
      </c>
      <c r="O92" s="43"/>
      <c r="P92" s="43"/>
      <c r="Q92" s="265"/>
      <c r="R92" s="265"/>
      <c r="S92" s="265"/>
      <c r="T92" s="265">
        <v>745502</v>
      </c>
      <c r="U92" s="265"/>
      <c r="V92" s="265"/>
      <c r="W92" s="265"/>
      <c r="X92" s="265"/>
      <c r="Y92" s="265"/>
      <c r="Z92" s="265"/>
      <c r="AA92" s="198" t="b">
        <f t="shared" si="18"/>
        <v>1</v>
      </c>
      <c r="AB92" s="199">
        <f t="shared" si="19"/>
        <v>0.6</v>
      </c>
      <c r="AC92" s="200" t="b">
        <f t="shared" si="20"/>
        <v>1</v>
      </c>
      <c r="AD92" s="200" t="b">
        <f t="shared" si="21"/>
        <v>1</v>
      </c>
    </row>
    <row r="93" spans="1:30" ht="30" customHeight="1">
      <c r="A93" s="232">
        <v>91</v>
      </c>
      <c r="B93" s="49" t="s">
        <v>531</v>
      </c>
      <c r="C93" s="50" t="s">
        <v>83</v>
      </c>
      <c r="D93" s="51" t="s">
        <v>351</v>
      </c>
      <c r="E93" s="51">
        <v>2404162</v>
      </c>
      <c r="F93" s="49" t="s">
        <v>231</v>
      </c>
      <c r="G93" s="49" t="s">
        <v>424</v>
      </c>
      <c r="H93" s="49" t="s">
        <v>48</v>
      </c>
      <c r="I93" s="52">
        <v>0.95599999999999996</v>
      </c>
      <c r="J93" s="53" t="s">
        <v>621</v>
      </c>
      <c r="K93" s="265">
        <v>1432268.83</v>
      </c>
      <c r="L93" s="252">
        <v>859361.29</v>
      </c>
      <c r="M93" s="265">
        <v>572907.54</v>
      </c>
      <c r="N93" s="55">
        <v>0.6</v>
      </c>
      <c r="O93" s="43"/>
      <c r="P93" s="43"/>
      <c r="Q93" s="265"/>
      <c r="R93" s="265"/>
      <c r="S93" s="265"/>
      <c r="T93" s="265">
        <v>859361.29</v>
      </c>
      <c r="U93" s="265"/>
      <c r="V93" s="265"/>
      <c r="W93" s="265"/>
      <c r="X93" s="265"/>
      <c r="Y93" s="265"/>
      <c r="Z93" s="265"/>
      <c r="AA93" s="198" t="b">
        <f t="shared" si="18"/>
        <v>1</v>
      </c>
      <c r="AB93" s="199">
        <f t="shared" si="19"/>
        <v>0.6</v>
      </c>
      <c r="AC93" s="200" t="b">
        <f t="shared" si="20"/>
        <v>1</v>
      </c>
      <c r="AD93" s="200" t="b">
        <f t="shared" si="21"/>
        <v>1</v>
      </c>
    </row>
    <row r="94" spans="1:30" ht="30" customHeight="1">
      <c r="A94" s="232">
        <v>92</v>
      </c>
      <c r="B94" s="49" t="s">
        <v>532</v>
      </c>
      <c r="C94" s="50" t="s">
        <v>83</v>
      </c>
      <c r="D94" s="51" t="s">
        <v>352</v>
      </c>
      <c r="E94" s="51" t="s">
        <v>473</v>
      </c>
      <c r="F94" s="49" t="s">
        <v>482</v>
      </c>
      <c r="G94" s="49" t="s">
        <v>425</v>
      </c>
      <c r="H94" s="49" t="s">
        <v>169</v>
      </c>
      <c r="I94" s="52">
        <v>0.46</v>
      </c>
      <c r="J94" s="53" t="s">
        <v>181</v>
      </c>
      <c r="K94" s="265">
        <v>237300</v>
      </c>
      <c r="L94" s="252">
        <v>142380</v>
      </c>
      <c r="M94" s="265">
        <f t="shared" ref="M94:M117" si="22">K94-L94</f>
        <v>94920</v>
      </c>
      <c r="N94" s="55">
        <v>0.6</v>
      </c>
      <c r="O94" s="43"/>
      <c r="P94" s="43"/>
      <c r="Q94" s="265"/>
      <c r="R94" s="265"/>
      <c r="S94" s="265"/>
      <c r="T94" s="265">
        <v>142380</v>
      </c>
      <c r="U94" s="265"/>
      <c r="V94" s="265"/>
      <c r="W94" s="265"/>
      <c r="X94" s="265"/>
      <c r="Y94" s="265"/>
      <c r="Z94" s="265"/>
      <c r="AA94" s="198" t="b">
        <f t="shared" si="18"/>
        <v>1</v>
      </c>
      <c r="AB94" s="199">
        <f t="shared" si="19"/>
        <v>0.6</v>
      </c>
      <c r="AC94" s="200" t="b">
        <f t="shared" si="20"/>
        <v>1</v>
      </c>
      <c r="AD94" s="200" t="b">
        <f t="shared" si="21"/>
        <v>1</v>
      </c>
    </row>
    <row r="95" spans="1:30" ht="46.5" customHeight="1">
      <c r="A95" s="232">
        <v>93</v>
      </c>
      <c r="B95" s="49" t="s">
        <v>533</v>
      </c>
      <c r="C95" s="50" t="s">
        <v>83</v>
      </c>
      <c r="D95" s="51" t="s">
        <v>353</v>
      </c>
      <c r="E95" s="51">
        <v>2406013</v>
      </c>
      <c r="F95" s="49" t="s">
        <v>208</v>
      </c>
      <c r="G95" s="49" t="s">
        <v>426</v>
      </c>
      <c r="H95" s="49" t="s">
        <v>48</v>
      </c>
      <c r="I95" s="52">
        <v>0.375</v>
      </c>
      <c r="J95" s="53" t="s">
        <v>554</v>
      </c>
      <c r="K95" s="265">
        <v>885038.26</v>
      </c>
      <c r="L95" s="252">
        <v>442519.13</v>
      </c>
      <c r="M95" s="265">
        <f t="shared" si="22"/>
        <v>442519.13</v>
      </c>
      <c r="N95" s="55">
        <v>0.5</v>
      </c>
      <c r="O95" s="43"/>
      <c r="P95" s="43"/>
      <c r="Q95" s="265"/>
      <c r="R95" s="265"/>
      <c r="S95" s="265"/>
      <c r="T95" s="265">
        <f>L95</f>
        <v>442519.13</v>
      </c>
      <c r="U95" s="265"/>
      <c r="V95" s="265"/>
      <c r="W95" s="265"/>
      <c r="X95" s="265"/>
      <c r="Y95" s="265"/>
      <c r="Z95" s="265"/>
      <c r="AA95" s="198" t="b">
        <f t="shared" si="18"/>
        <v>1</v>
      </c>
      <c r="AB95" s="199">
        <f t="shared" si="19"/>
        <v>0.5</v>
      </c>
      <c r="AC95" s="200" t="b">
        <f t="shared" si="20"/>
        <v>1</v>
      </c>
      <c r="AD95" s="200" t="b">
        <f t="shared" si="21"/>
        <v>1</v>
      </c>
    </row>
    <row r="96" spans="1:30" ht="30" customHeight="1">
      <c r="A96" s="232">
        <v>94</v>
      </c>
      <c r="B96" s="49" t="s">
        <v>534</v>
      </c>
      <c r="C96" s="50" t="s">
        <v>83</v>
      </c>
      <c r="D96" s="51" t="s">
        <v>268</v>
      </c>
      <c r="E96" s="51" t="s">
        <v>269</v>
      </c>
      <c r="F96" s="49" t="s">
        <v>270</v>
      </c>
      <c r="G96" s="49" t="s">
        <v>427</v>
      </c>
      <c r="H96" s="49" t="s">
        <v>48</v>
      </c>
      <c r="I96" s="52">
        <v>0.29799999999999999</v>
      </c>
      <c r="J96" s="53" t="s">
        <v>628</v>
      </c>
      <c r="K96" s="265">
        <v>1181650.48</v>
      </c>
      <c r="L96" s="252">
        <f>ROUNDDOWN(K96*N96,2)</f>
        <v>945320.38</v>
      </c>
      <c r="M96" s="253">
        <f>K96-L96</f>
        <v>236330.09999999998</v>
      </c>
      <c r="N96" s="55">
        <v>0.8</v>
      </c>
      <c r="O96" s="43"/>
      <c r="P96" s="43"/>
      <c r="Q96" s="265"/>
      <c r="R96" s="265"/>
      <c r="S96" s="265"/>
      <c r="T96" s="265">
        <f>L96</f>
        <v>945320.38</v>
      </c>
      <c r="U96" s="265"/>
      <c r="V96" s="265"/>
      <c r="W96" s="265"/>
      <c r="X96" s="265"/>
      <c r="Y96" s="265"/>
      <c r="Z96" s="265"/>
      <c r="AA96" s="198" t="b">
        <f t="shared" si="18"/>
        <v>1</v>
      </c>
      <c r="AB96" s="199">
        <f t="shared" si="19"/>
        <v>0.8</v>
      </c>
      <c r="AC96" s="200" t="b">
        <f t="shared" si="20"/>
        <v>1</v>
      </c>
      <c r="AD96" s="200" t="b">
        <f t="shared" si="21"/>
        <v>1</v>
      </c>
    </row>
    <row r="97" spans="1:30" s="201" customFormat="1" ht="54" customHeight="1">
      <c r="A97" s="232">
        <v>95</v>
      </c>
      <c r="B97" s="227" t="s">
        <v>645</v>
      </c>
      <c r="C97" s="233"/>
      <c r="D97" s="234" t="s">
        <v>635</v>
      </c>
      <c r="E97" s="234" t="s">
        <v>214</v>
      </c>
      <c r="F97" s="227" t="s">
        <v>215</v>
      </c>
      <c r="G97" s="227" t="s">
        <v>428</v>
      </c>
      <c r="H97" s="227"/>
      <c r="I97" s="235"/>
      <c r="J97" s="236"/>
      <c r="K97" s="237"/>
      <c r="L97" s="230"/>
      <c r="M97" s="237"/>
      <c r="N97" s="231"/>
      <c r="O97" s="238"/>
      <c r="P97" s="238"/>
      <c r="Q97" s="237"/>
      <c r="R97" s="237"/>
      <c r="S97" s="237"/>
      <c r="T97" s="237"/>
      <c r="U97" s="237"/>
      <c r="V97" s="237"/>
      <c r="W97" s="237"/>
      <c r="X97" s="237"/>
      <c r="Y97" s="237"/>
      <c r="Z97" s="237"/>
      <c r="AA97" s="198" t="b">
        <f t="shared" si="18"/>
        <v>1</v>
      </c>
      <c r="AB97" s="199" t="e">
        <f t="shared" si="19"/>
        <v>#DIV/0!</v>
      </c>
      <c r="AC97" s="200" t="e">
        <f t="shared" si="20"/>
        <v>#DIV/0!</v>
      </c>
      <c r="AD97" s="200" t="b">
        <f t="shared" si="21"/>
        <v>1</v>
      </c>
    </row>
    <row r="98" spans="1:30" s="201" customFormat="1" ht="48.75" customHeight="1">
      <c r="A98" s="232">
        <v>96</v>
      </c>
      <c r="B98" s="227" t="s">
        <v>576</v>
      </c>
      <c r="C98" s="233"/>
      <c r="D98" s="234" t="s">
        <v>651</v>
      </c>
      <c r="E98" s="234">
        <v>2408011</v>
      </c>
      <c r="F98" s="227" t="s">
        <v>221</v>
      </c>
      <c r="G98" s="227" t="s">
        <v>429</v>
      </c>
      <c r="H98" s="227"/>
      <c r="I98" s="235"/>
      <c r="J98" s="236"/>
      <c r="K98" s="237"/>
      <c r="L98" s="230"/>
      <c r="M98" s="237"/>
      <c r="N98" s="231"/>
      <c r="O98" s="238"/>
      <c r="P98" s="238"/>
      <c r="Q98" s="237"/>
      <c r="R98" s="237"/>
      <c r="S98" s="237"/>
      <c r="T98" s="237"/>
      <c r="U98" s="237"/>
      <c r="V98" s="237"/>
      <c r="W98" s="237"/>
      <c r="X98" s="237"/>
      <c r="Y98" s="237"/>
      <c r="Z98" s="237"/>
      <c r="AA98" s="198" t="b">
        <f t="shared" si="18"/>
        <v>1</v>
      </c>
      <c r="AB98" s="199" t="e">
        <f t="shared" si="19"/>
        <v>#DIV/0!</v>
      </c>
      <c r="AC98" s="200" t="e">
        <f t="shared" si="20"/>
        <v>#DIV/0!</v>
      </c>
      <c r="AD98" s="200" t="b">
        <f t="shared" si="21"/>
        <v>1</v>
      </c>
    </row>
    <row r="99" spans="1:30" ht="30" customHeight="1">
      <c r="A99" s="232">
        <v>97</v>
      </c>
      <c r="B99" s="49" t="s">
        <v>535</v>
      </c>
      <c r="C99" s="50" t="s">
        <v>83</v>
      </c>
      <c r="D99" s="51" t="s">
        <v>300</v>
      </c>
      <c r="E99" s="51" t="s">
        <v>301</v>
      </c>
      <c r="F99" s="49" t="s">
        <v>211</v>
      </c>
      <c r="G99" s="49" t="s">
        <v>430</v>
      </c>
      <c r="H99" s="49" t="s">
        <v>48</v>
      </c>
      <c r="I99" s="52">
        <v>0.63600000000000001</v>
      </c>
      <c r="J99" s="53" t="s">
        <v>571</v>
      </c>
      <c r="K99" s="265">
        <v>823150.38</v>
      </c>
      <c r="L99" s="252">
        <v>452732.7</v>
      </c>
      <c r="M99" s="265">
        <f t="shared" si="22"/>
        <v>370417.68</v>
      </c>
      <c r="N99" s="55">
        <v>0.55000000000000004</v>
      </c>
      <c r="O99" s="43"/>
      <c r="P99" s="43"/>
      <c r="Q99" s="265"/>
      <c r="R99" s="265"/>
      <c r="S99" s="265"/>
      <c r="T99" s="265">
        <f>L99</f>
        <v>452732.7</v>
      </c>
      <c r="U99" s="265"/>
      <c r="V99" s="265"/>
      <c r="W99" s="265"/>
      <c r="X99" s="265"/>
      <c r="Y99" s="265"/>
      <c r="Z99" s="265"/>
      <c r="AA99" s="198" t="b">
        <f t="shared" si="18"/>
        <v>1</v>
      </c>
      <c r="AB99" s="199">
        <f t="shared" si="19"/>
        <v>0.55000000000000004</v>
      </c>
      <c r="AC99" s="200" t="b">
        <f t="shared" si="20"/>
        <v>1</v>
      </c>
      <c r="AD99" s="200" t="b">
        <f t="shared" si="21"/>
        <v>1</v>
      </c>
    </row>
    <row r="100" spans="1:30" ht="30" customHeight="1">
      <c r="A100" s="232">
        <v>98</v>
      </c>
      <c r="B100" s="49" t="s">
        <v>536</v>
      </c>
      <c r="C100" s="50" t="s">
        <v>83</v>
      </c>
      <c r="D100" s="51" t="s">
        <v>300</v>
      </c>
      <c r="E100" s="51" t="s">
        <v>301</v>
      </c>
      <c r="F100" s="49" t="s">
        <v>211</v>
      </c>
      <c r="G100" s="49" t="s">
        <v>431</v>
      </c>
      <c r="H100" s="49" t="s">
        <v>50</v>
      </c>
      <c r="I100" s="52">
        <v>0.30199999999999999</v>
      </c>
      <c r="J100" s="53" t="s">
        <v>572</v>
      </c>
      <c r="K100" s="265">
        <v>721957.71</v>
      </c>
      <c r="L100" s="252">
        <v>339036.5</v>
      </c>
      <c r="M100" s="265">
        <f t="shared" si="22"/>
        <v>382921.20999999996</v>
      </c>
      <c r="N100" s="55">
        <v>0.55000000000000004</v>
      </c>
      <c r="O100" s="43"/>
      <c r="P100" s="43"/>
      <c r="Q100" s="265"/>
      <c r="R100" s="265"/>
      <c r="S100" s="265"/>
      <c r="T100" s="265">
        <v>339036.5</v>
      </c>
      <c r="U100" s="265"/>
      <c r="V100" s="265"/>
      <c r="W100" s="265"/>
      <c r="X100" s="265"/>
      <c r="Y100" s="265"/>
      <c r="Z100" s="265"/>
      <c r="AA100" s="198" t="b">
        <f t="shared" si="18"/>
        <v>1</v>
      </c>
      <c r="AB100" s="199">
        <f t="shared" si="19"/>
        <v>0.46960000000000002</v>
      </c>
      <c r="AC100" s="200" t="b">
        <f t="shared" si="20"/>
        <v>0</v>
      </c>
      <c r="AD100" s="200" t="b">
        <f t="shared" si="21"/>
        <v>1</v>
      </c>
    </row>
    <row r="101" spans="1:30" ht="30" customHeight="1">
      <c r="A101" s="232">
        <v>99</v>
      </c>
      <c r="B101" s="49" t="s">
        <v>537</v>
      </c>
      <c r="C101" s="50" t="s">
        <v>83</v>
      </c>
      <c r="D101" s="51" t="s">
        <v>343</v>
      </c>
      <c r="E101" s="51" t="s">
        <v>474</v>
      </c>
      <c r="F101" s="49" t="s">
        <v>263</v>
      </c>
      <c r="G101" s="49" t="s">
        <v>432</v>
      </c>
      <c r="H101" s="49" t="s">
        <v>48</v>
      </c>
      <c r="I101" s="52">
        <v>0.249</v>
      </c>
      <c r="J101" s="53" t="s">
        <v>565</v>
      </c>
      <c r="K101" s="265">
        <v>1337530</v>
      </c>
      <c r="L101" s="252">
        <v>668765</v>
      </c>
      <c r="M101" s="265">
        <f t="shared" si="22"/>
        <v>668765</v>
      </c>
      <c r="N101" s="55">
        <v>0.5</v>
      </c>
      <c r="O101" s="43"/>
      <c r="P101" s="43"/>
      <c r="Q101" s="265"/>
      <c r="R101" s="265"/>
      <c r="S101" s="265"/>
      <c r="T101" s="265">
        <v>668765</v>
      </c>
      <c r="U101" s="265"/>
      <c r="V101" s="265"/>
      <c r="W101" s="265"/>
      <c r="X101" s="265"/>
      <c r="Y101" s="265"/>
      <c r="Z101" s="265"/>
      <c r="AA101" s="198" t="b">
        <f t="shared" si="18"/>
        <v>1</v>
      </c>
      <c r="AB101" s="199">
        <f t="shared" si="19"/>
        <v>0.5</v>
      </c>
      <c r="AC101" s="200" t="b">
        <f t="shared" si="20"/>
        <v>1</v>
      </c>
      <c r="AD101" s="200" t="b">
        <f t="shared" si="21"/>
        <v>1</v>
      </c>
    </row>
    <row r="102" spans="1:30" ht="42.75" customHeight="1">
      <c r="A102" s="232">
        <v>100</v>
      </c>
      <c r="B102" s="49" t="s">
        <v>538</v>
      </c>
      <c r="C102" s="50" t="s">
        <v>83</v>
      </c>
      <c r="D102" s="51" t="s">
        <v>354</v>
      </c>
      <c r="E102" s="51" t="s">
        <v>475</v>
      </c>
      <c r="F102" s="49" t="s">
        <v>231</v>
      </c>
      <c r="G102" s="49" t="s">
        <v>619</v>
      </c>
      <c r="H102" s="49" t="s">
        <v>169</v>
      </c>
      <c r="I102" s="52">
        <v>2.9529999999999998</v>
      </c>
      <c r="J102" s="53" t="s">
        <v>182</v>
      </c>
      <c r="K102" s="265">
        <f>L102+M102</f>
        <v>1554102.99</v>
      </c>
      <c r="L102" s="252">
        <v>932461.7</v>
      </c>
      <c r="M102" s="265">
        <v>621641.29</v>
      </c>
      <c r="N102" s="55">
        <v>0.6</v>
      </c>
      <c r="O102" s="43"/>
      <c r="P102" s="43"/>
      <c r="Q102" s="265"/>
      <c r="R102" s="265"/>
      <c r="S102" s="265"/>
      <c r="T102" s="265">
        <v>932461.7</v>
      </c>
      <c r="U102" s="265"/>
      <c r="V102" s="265"/>
      <c r="W102" s="265"/>
      <c r="X102" s="265"/>
      <c r="Y102" s="265"/>
      <c r="Z102" s="265"/>
      <c r="AA102" s="198" t="b">
        <f t="shared" si="18"/>
        <v>1</v>
      </c>
      <c r="AB102" s="199">
        <f t="shared" si="19"/>
        <v>0.6</v>
      </c>
      <c r="AC102" s="200" t="b">
        <f t="shared" si="20"/>
        <v>1</v>
      </c>
      <c r="AD102" s="200" t="b">
        <f t="shared" si="21"/>
        <v>1</v>
      </c>
    </row>
    <row r="103" spans="1:30" ht="30" customHeight="1">
      <c r="A103" s="232">
        <v>101</v>
      </c>
      <c r="B103" s="49" t="s">
        <v>539</v>
      </c>
      <c r="C103" s="50" t="s">
        <v>83</v>
      </c>
      <c r="D103" s="51" t="s">
        <v>354</v>
      </c>
      <c r="E103" s="51" t="s">
        <v>475</v>
      </c>
      <c r="F103" s="49" t="s">
        <v>231</v>
      </c>
      <c r="G103" s="49" t="s">
        <v>433</v>
      </c>
      <c r="H103" s="49" t="s">
        <v>169</v>
      </c>
      <c r="I103" s="52">
        <v>2.0459999999999998</v>
      </c>
      <c r="J103" s="53" t="s">
        <v>182</v>
      </c>
      <c r="K103" s="265">
        <f>L103+M103</f>
        <v>1233127.83</v>
      </c>
      <c r="L103" s="252">
        <v>739876.6</v>
      </c>
      <c r="M103" s="265">
        <v>493251.23</v>
      </c>
      <c r="N103" s="55">
        <v>0.6</v>
      </c>
      <c r="O103" s="43"/>
      <c r="P103" s="43"/>
      <c r="Q103" s="265"/>
      <c r="R103" s="265"/>
      <c r="S103" s="265"/>
      <c r="T103" s="265">
        <v>739876.6</v>
      </c>
      <c r="U103" s="265"/>
      <c r="V103" s="265"/>
      <c r="W103" s="265"/>
      <c r="X103" s="265"/>
      <c r="Y103" s="265"/>
      <c r="Z103" s="265"/>
      <c r="AA103" s="198" t="b">
        <f t="shared" si="18"/>
        <v>1</v>
      </c>
      <c r="AB103" s="199">
        <f t="shared" si="19"/>
        <v>0.6</v>
      </c>
      <c r="AC103" s="200" t="b">
        <f t="shared" si="20"/>
        <v>1</v>
      </c>
      <c r="AD103" s="200" t="b">
        <f t="shared" si="21"/>
        <v>1</v>
      </c>
    </row>
    <row r="104" spans="1:30" ht="30" customHeight="1">
      <c r="A104" s="232">
        <v>102</v>
      </c>
      <c r="B104" s="49" t="s">
        <v>540</v>
      </c>
      <c r="C104" s="50" t="s">
        <v>83</v>
      </c>
      <c r="D104" s="51" t="s">
        <v>355</v>
      </c>
      <c r="E104" s="51" t="s">
        <v>476</v>
      </c>
      <c r="F104" s="49" t="s">
        <v>270</v>
      </c>
      <c r="G104" s="49" t="s">
        <v>434</v>
      </c>
      <c r="H104" s="49" t="s">
        <v>169</v>
      </c>
      <c r="I104" s="52">
        <v>0.159</v>
      </c>
      <c r="J104" s="53" t="s">
        <v>655</v>
      </c>
      <c r="K104" s="265">
        <v>256786.04</v>
      </c>
      <c r="L104" s="252">
        <v>154071.62</v>
      </c>
      <c r="M104" s="265">
        <f t="shared" si="22"/>
        <v>102714.42000000001</v>
      </c>
      <c r="N104" s="55">
        <v>0.6</v>
      </c>
      <c r="O104" s="43"/>
      <c r="P104" s="43"/>
      <c r="Q104" s="265"/>
      <c r="R104" s="265"/>
      <c r="S104" s="265"/>
      <c r="T104" s="252">
        <v>154071.62</v>
      </c>
      <c r="U104" s="265"/>
      <c r="V104" s="265"/>
      <c r="W104" s="265"/>
      <c r="X104" s="265"/>
      <c r="Y104" s="265"/>
      <c r="Z104" s="265"/>
      <c r="AA104" s="198" t="b">
        <f t="shared" si="18"/>
        <v>1</v>
      </c>
      <c r="AB104" s="199">
        <f t="shared" si="19"/>
        <v>0.6</v>
      </c>
      <c r="AC104" s="200" t="b">
        <f t="shared" si="20"/>
        <v>1</v>
      </c>
      <c r="AD104" s="200" t="b">
        <f t="shared" si="21"/>
        <v>1</v>
      </c>
    </row>
    <row r="105" spans="1:30" ht="30" customHeight="1">
      <c r="A105" s="232">
        <v>103</v>
      </c>
      <c r="B105" s="49" t="s">
        <v>541</v>
      </c>
      <c r="C105" s="50" t="s">
        <v>83</v>
      </c>
      <c r="D105" s="51" t="s">
        <v>356</v>
      </c>
      <c r="E105" s="51" t="s">
        <v>477</v>
      </c>
      <c r="F105" s="49" t="s">
        <v>191</v>
      </c>
      <c r="G105" s="49" t="s">
        <v>435</v>
      </c>
      <c r="H105" s="49" t="s">
        <v>48</v>
      </c>
      <c r="I105" s="52">
        <v>0.122</v>
      </c>
      <c r="J105" s="53" t="s">
        <v>571</v>
      </c>
      <c r="K105" s="265">
        <v>378593.02</v>
      </c>
      <c r="L105" s="252">
        <v>227155.81</v>
      </c>
      <c r="M105" s="265">
        <v>151437.21</v>
      </c>
      <c r="N105" s="55">
        <v>0.6</v>
      </c>
      <c r="O105" s="43"/>
      <c r="P105" s="43"/>
      <c r="Q105" s="265"/>
      <c r="R105" s="265"/>
      <c r="S105" s="265"/>
      <c r="T105" s="265">
        <f>L105</f>
        <v>227155.81</v>
      </c>
      <c r="U105" s="265"/>
      <c r="V105" s="265"/>
      <c r="W105" s="265"/>
      <c r="X105" s="265"/>
      <c r="Y105" s="265"/>
      <c r="Z105" s="265"/>
      <c r="AA105" s="198" t="b">
        <f t="shared" si="18"/>
        <v>1</v>
      </c>
      <c r="AB105" s="199">
        <f t="shared" si="19"/>
        <v>0.6</v>
      </c>
      <c r="AC105" s="200" t="b">
        <f t="shared" si="20"/>
        <v>1</v>
      </c>
      <c r="AD105" s="200" t="b">
        <f t="shared" si="21"/>
        <v>1</v>
      </c>
    </row>
    <row r="106" spans="1:30" ht="30" customHeight="1">
      <c r="A106" s="232">
        <v>104</v>
      </c>
      <c r="B106" s="49" t="s">
        <v>542</v>
      </c>
      <c r="C106" s="50" t="s">
        <v>83</v>
      </c>
      <c r="D106" s="51" t="s">
        <v>350</v>
      </c>
      <c r="E106" s="51" t="s">
        <v>472</v>
      </c>
      <c r="F106" s="49" t="s">
        <v>191</v>
      </c>
      <c r="G106" s="49" t="s">
        <v>436</v>
      </c>
      <c r="H106" s="49" t="s">
        <v>169</v>
      </c>
      <c r="I106" s="52">
        <v>0.95</v>
      </c>
      <c r="J106" s="53" t="s">
        <v>181</v>
      </c>
      <c r="K106" s="265">
        <v>1332983.31</v>
      </c>
      <c r="L106" s="252">
        <v>799789</v>
      </c>
      <c r="M106" s="265">
        <f t="shared" si="22"/>
        <v>533194.31000000006</v>
      </c>
      <c r="N106" s="55">
        <v>0.6</v>
      </c>
      <c r="O106" s="43"/>
      <c r="P106" s="43"/>
      <c r="Q106" s="265"/>
      <c r="R106" s="265"/>
      <c r="S106" s="265"/>
      <c r="T106" s="265">
        <v>799789</v>
      </c>
      <c r="U106" s="265"/>
      <c r="V106" s="265"/>
      <c r="W106" s="265"/>
      <c r="X106" s="265"/>
      <c r="Y106" s="265"/>
      <c r="Z106" s="265"/>
      <c r="AA106" s="198" t="b">
        <f t="shared" si="18"/>
        <v>1</v>
      </c>
      <c r="AB106" s="199">
        <f t="shared" si="19"/>
        <v>0.6</v>
      </c>
      <c r="AC106" s="200" t="b">
        <f t="shared" si="20"/>
        <v>1</v>
      </c>
      <c r="AD106" s="200" t="b">
        <f t="shared" si="21"/>
        <v>1</v>
      </c>
    </row>
    <row r="107" spans="1:30" ht="40.5" customHeight="1">
      <c r="A107" s="232">
        <v>105</v>
      </c>
      <c r="B107" s="49" t="s">
        <v>543</v>
      </c>
      <c r="C107" s="50" t="s">
        <v>83</v>
      </c>
      <c r="D107" s="51" t="s">
        <v>357</v>
      </c>
      <c r="E107" s="51" t="s">
        <v>478</v>
      </c>
      <c r="F107" s="49" t="s">
        <v>263</v>
      </c>
      <c r="G107" s="49" t="s">
        <v>437</v>
      </c>
      <c r="H107" s="49" t="s">
        <v>169</v>
      </c>
      <c r="I107" s="52">
        <v>0.84</v>
      </c>
      <c r="J107" s="53" t="s">
        <v>568</v>
      </c>
      <c r="K107" s="265">
        <v>449550</v>
      </c>
      <c r="L107" s="252">
        <v>224775</v>
      </c>
      <c r="M107" s="265">
        <v>224775</v>
      </c>
      <c r="N107" s="55">
        <v>0.5</v>
      </c>
      <c r="O107" s="43"/>
      <c r="P107" s="43"/>
      <c r="Q107" s="265"/>
      <c r="R107" s="265"/>
      <c r="S107" s="265"/>
      <c r="T107" s="265">
        <v>224775</v>
      </c>
      <c r="U107" s="265"/>
      <c r="V107" s="265"/>
      <c r="W107" s="265"/>
      <c r="X107" s="265"/>
      <c r="Y107" s="265"/>
      <c r="Z107" s="265"/>
      <c r="AA107" s="198" t="b">
        <f t="shared" si="18"/>
        <v>1</v>
      </c>
      <c r="AB107" s="199">
        <f t="shared" si="19"/>
        <v>0.5</v>
      </c>
      <c r="AC107" s="200" t="b">
        <f t="shared" si="20"/>
        <v>1</v>
      </c>
      <c r="AD107" s="200" t="b">
        <f t="shared" si="21"/>
        <v>1</v>
      </c>
    </row>
    <row r="108" spans="1:30" ht="45.75" customHeight="1">
      <c r="A108" s="232">
        <v>106</v>
      </c>
      <c r="B108" s="49" t="s">
        <v>544</v>
      </c>
      <c r="C108" s="50" t="s">
        <v>83</v>
      </c>
      <c r="D108" s="51" t="s">
        <v>136</v>
      </c>
      <c r="E108" s="51" t="s">
        <v>142</v>
      </c>
      <c r="F108" s="49" t="s">
        <v>485</v>
      </c>
      <c r="G108" s="49" t="s">
        <v>438</v>
      </c>
      <c r="H108" s="49" t="s">
        <v>169</v>
      </c>
      <c r="I108" s="52">
        <v>0.80400000000000005</v>
      </c>
      <c r="J108" s="53" t="s">
        <v>181</v>
      </c>
      <c r="K108" s="265">
        <v>1413159.21</v>
      </c>
      <c r="L108" s="252">
        <f>T108</f>
        <v>847895.52</v>
      </c>
      <c r="M108" s="253">
        <f>K108-L108</f>
        <v>565263.68999999994</v>
      </c>
      <c r="N108" s="55">
        <v>0.6</v>
      </c>
      <c r="O108" s="43"/>
      <c r="P108" s="43"/>
      <c r="Q108" s="265"/>
      <c r="R108" s="265"/>
      <c r="S108" s="265"/>
      <c r="T108" s="265">
        <v>847895.52</v>
      </c>
      <c r="U108" s="265"/>
      <c r="V108" s="265"/>
      <c r="W108" s="265"/>
      <c r="X108" s="265"/>
      <c r="Y108" s="265"/>
      <c r="Z108" s="265"/>
      <c r="AA108" s="198" t="b">
        <f t="shared" si="18"/>
        <v>1</v>
      </c>
      <c r="AB108" s="199">
        <f t="shared" si="19"/>
        <v>0.6</v>
      </c>
      <c r="AC108" s="200" t="b">
        <f t="shared" si="20"/>
        <v>1</v>
      </c>
      <c r="AD108" s="200" t="b">
        <f t="shared" si="21"/>
        <v>1</v>
      </c>
    </row>
    <row r="109" spans="1:30" ht="30" customHeight="1">
      <c r="A109" s="232">
        <v>107</v>
      </c>
      <c r="B109" s="49" t="s">
        <v>545</v>
      </c>
      <c r="C109" s="50" t="s">
        <v>83</v>
      </c>
      <c r="D109" s="51" t="s">
        <v>589</v>
      </c>
      <c r="E109" s="51" t="s">
        <v>479</v>
      </c>
      <c r="F109" s="49" t="s">
        <v>486</v>
      </c>
      <c r="G109" s="49" t="s">
        <v>439</v>
      </c>
      <c r="H109" s="49" t="s">
        <v>169</v>
      </c>
      <c r="I109" s="52">
        <v>0.7</v>
      </c>
      <c r="J109" s="53" t="s">
        <v>572</v>
      </c>
      <c r="K109" s="265">
        <v>774160</v>
      </c>
      <c r="L109" s="252">
        <v>387080</v>
      </c>
      <c r="M109" s="265">
        <f t="shared" si="22"/>
        <v>387080</v>
      </c>
      <c r="N109" s="55">
        <v>0.5</v>
      </c>
      <c r="O109" s="43"/>
      <c r="P109" s="43"/>
      <c r="Q109" s="265"/>
      <c r="R109" s="265"/>
      <c r="S109" s="265"/>
      <c r="T109" s="265">
        <v>387080</v>
      </c>
      <c r="U109" s="265"/>
      <c r="V109" s="265"/>
      <c r="W109" s="265"/>
      <c r="X109" s="265"/>
      <c r="Y109" s="265"/>
      <c r="Z109" s="265"/>
      <c r="AA109" s="198" t="b">
        <f t="shared" si="18"/>
        <v>1</v>
      </c>
      <c r="AB109" s="199">
        <f t="shared" si="19"/>
        <v>0.5</v>
      </c>
      <c r="AC109" s="200" t="b">
        <f t="shared" si="20"/>
        <v>1</v>
      </c>
      <c r="AD109" s="200" t="b">
        <f t="shared" si="21"/>
        <v>1</v>
      </c>
    </row>
    <row r="110" spans="1:30" s="201" customFormat="1" ht="42" customHeight="1">
      <c r="A110" s="232">
        <v>108</v>
      </c>
      <c r="B110" s="227" t="s">
        <v>638</v>
      </c>
      <c r="C110" s="233"/>
      <c r="D110" s="234" t="s">
        <v>637</v>
      </c>
      <c r="E110" s="234" t="s">
        <v>470</v>
      </c>
      <c r="F110" s="227" t="s">
        <v>191</v>
      </c>
      <c r="G110" s="227" t="s">
        <v>440</v>
      </c>
      <c r="H110" s="227"/>
      <c r="I110" s="235"/>
      <c r="J110" s="236"/>
      <c r="K110" s="237"/>
      <c r="L110" s="230"/>
      <c r="M110" s="237"/>
      <c r="N110" s="231"/>
      <c r="O110" s="238"/>
      <c r="P110" s="238"/>
      <c r="Q110" s="237"/>
      <c r="R110" s="237"/>
      <c r="S110" s="237"/>
      <c r="T110" s="265"/>
      <c r="U110" s="237"/>
      <c r="V110" s="237"/>
      <c r="W110" s="237"/>
      <c r="X110" s="237"/>
      <c r="Y110" s="237"/>
      <c r="Z110" s="237"/>
      <c r="AA110" s="198" t="b">
        <f t="shared" si="18"/>
        <v>1</v>
      </c>
      <c r="AB110" s="199" t="e">
        <f t="shared" si="19"/>
        <v>#DIV/0!</v>
      </c>
      <c r="AC110" s="200" t="e">
        <f t="shared" si="20"/>
        <v>#DIV/0!</v>
      </c>
      <c r="AD110" s="200" t="b">
        <f t="shared" si="21"/>
        <v>1</v>
      </c>
    </row>
    <row r="111" spans="1:30" ht="49.5" customHeight="1">
      <c r="A111" s="232">
        <v>109</v>
      </c>
      <c r="B111" s="49" t="s">
        <v>546</v>
      </c>
      <c r="C111" s="50" t="s">
        <v>83</v>
      </c>
      <c r="D111" s="51" t="s">
        <v>329</v>
      </c>
      <c r="E111" s="51" t="s">
        <v>450</v>
      </c>
      <c r="F111" s="49" t="s">
        <v>199</v>
      </c>
      <c r="G111" s="49" t="s">
        <v>441</v>
      </c>
      <c r="H111" s="49" t="s">
        <v>48</v>
      </c>
      <c r="I111" s="52">
        <v>0.61599999999999999</v>
      </c>
      <c r="J111" s="53" t="s">
        <v>182</v>
      </c>
      <c r="K111" s="265">
        <v>1079135.95</v>
      </c>
      <c r="L111" s="252">
        <v>647481.56999999995</v>
      </c>
      <c r="M111" s="265">
        <v>431654.38</v>
      </c>
      <c r="N111" s="55">
        <v>0.6</v>
      </c>
      <c r="O111" s="43"/>
      <c r="P111" s="43"/>
      <c r="Q111" s="265"/>
      <c r="R111" s="265"/>
      <c r="S111" s="265"/>
      <c r="T111" s="265">
        <f>L111</f>
        <v>647481.56999999995</v>
      </c>
      <c r="U111" s="265"/>
      <c r="V111" s="265"/>
      <c r="W111" s="265"/>
      <c r="X111" s="265"/>
      <c r="Y111" s="265"/>
      <c r="Z111" s="265"/>
      <c r="AA111" s="198" t="b">
        <f t="shared" si="18"/>
        <v>1</v>
      </c>
      <c r="AB111" s="199">
        <f t="shared" si="19"/>
        <v>0.6</v>
      </c>
      <c r="AC111" s="200" t="b">
        <f t="shared" si="20"/>
        <v>1</v>
      </c>
      <c r="AD111" s="200" t="b">
        <f t="shared" si="21"/>
        <v>1</v>
      </c>
    </row>
    <row r="112" spans="1:30" ht="30" customHeight="1">
      <c r="A112" s="232">
        <v>110</v>
      </c>
      <c r="B112" s="49" t="s">
        <v>547</v>
      </c>
      <c r="C112" s="50" t="s">
        <v>83</v>
      </c>
      <c r="D112" s="51" t="s">
        <v>358</v>
      </c>
      <c r="E112" s="51" t="s">
        <v>480</v>
      </c>
      <c r="F112" s="49" t="s">
        <v>199</v>
      </c>
      <c r="G112" s="49" t="s">
        <v>442</v>
      </c>
      <c r="H112" s="49" t="s">
        <v>48</v>
      </c>
      <c r="I112" s="52">
        <v>0.54500000000000004</v>
      </c>
      <c r="J112" s="53" t="s">
        <v>573</v>
      </c>
      <c r="K112" s="265">
        <f>L112+M112</f>
        <v>1791488</v>
      </c>
      <c r="L112" s="252">
        <v>1074892.8</v>
      </c>
      <c r="M112" s="265">
        <v>716595.19999999995</v>
      </c>
      <c r="N112" s="55">
        <v>0.6</v>
      </c>
      <c r="O112" s="43"/>
      <c r="P112" s="43"/>
      <c r="Q112" s="265"/>
      <c r="R112" s="265"/>
      <c r="S112" s="265"/>
      <c r="T112" s="265">
        <v>1074892.8</v>
      </c>
      <c r="U112" s="265"/>
      <c r="V112" s="265"/>
      <c r="W112" s="265"/>
      <c r="X112" s="265"/>
      <c r="Y112" s="265"/>
      <c r="Z112" s="265"/>
      <c r="AA112" s="198" t="b">
        <f t="shared" si="18"/>
        <v>1</v>
      </c>
      <c r="AB112" s="199">
        <f t="shared" si="19"/>
        <v>0.6</v>
      </c>
      <c r="AC112" s="200" t="b">
        <f t="shared" si="20"/>
        <v>1</v>
      </c>
      <c r="AD112" s="200" t="b">
        <f t="shared" si="21"/>
        <v>1</v>
      </c>
    </row>
    <row r="113" spans="1:30" ht="30" customHeight="1">
      <c r="A113" s="232">
        <v>111</v>
      </c>
      <c r="B113" s="49" t="s">
        <v>548</v>
      </c>
      <c r="C113" s="50" t="s">
        <v>83</v>
      </c>
      <c r="D113" s="51" t="s">
        <v>279</v>
      </c>
      <c r="E113" s="51" t="s">
        <v>280</v>
      </c>
      <c r="F113" s="49" t="s">
        <v>281</v>
      </c>
      <c r="G113" s="49" t="s">
        <v>443</v>
      </c>
      <c r="H113" s="49" t="s">
        <v>50</v>
      </c>
      <c r="I113" s="52">
        <v>0.26500000000000001</v>
      </c>
      <c r="J113" s="53" t="s">
        <v>182</v>
      </c>
      <c r="K113" s="265">
        <v>633830</v>
      </c>
      <c r="L113" s="252">
        <f>ROUNDDOWN(K113*N113,2)</f>
        <v>443681</v>
      </c>
      <c r="M113" s="253">
        <f>K113-L113</f>
        <v>190149</v>
      </c>
      <c r="N113" s="55">
        <v>0.7</v>
      </c>
      <c r="O113" s="43"/>
      <c r="P113" s="43"/>
      <c r="Q113" s="265"/>
      <c r="R113" s="265"/>
      <c r="S113" s="265"/>
      <c r="T113" s="265">
        <v>443681</v>
      </c>
      <c r="U113" s="265"/>
      <c r="V113" s="265"/>
      <c r="W113" s="265"/>
      <c r="X113" s="265"/>
      <c r="Y113" s="265"/>
      <c r="Z113" s="265"/>
      <c r="AA113" s="198" t="b">
        <f t="shared" si="18"/>
        <v>1</v>
      </c>
      <c r="AB113" s="199">
        <f t="shared" si="19"/>
        <v>0.7</v>
      </c>
      <c r="AC113" s="200" t="b">
        <f t="shared" si="20"/>
        <v>1</v>
      </c>
      <c r="AD113" s="200" t="b">
        <f t="shared" si="21"/>
        <v>1</v>
      </c>
    </row>
    <row r="114" spans="1:30" ht="30" customHeight="1">
      <c r="A114" s="232">
        <v>112</v>
      </c>
      <c r="B114" s="49" t="s">
        <v>549</v>
      </c>
      <c r="C114" s="50" t="s">
        <v>83</v>
      </c>
      <c r="D114" s="51" t="s">
        <v>355</v>
      </c>
      <c r="E114" s="51" t="s">
        <v>476</v>
      </c>
      <c r="F114" s="49" t="s">
        <v>270</v>
      </c>
      <c r="G114" s="49" t="s">
        <v>444</v>
      </c>
      <c r="H114" s="49" t="s">
        <v>169</v>
      </c>
      <c r="I114" s="52">
        <v>0.152</v>
      </c>
      <c r="J114" s="53" t="s">
        <v>657</v>
      </c>
      <c r="K114" s="265">
        <v>229577.66</v>
      </c>
      <c r="L114" s="252">
        <v>137746.59</v>
      </c>
      <c r="M114" s="265">
        <f t="shared" si="22"/>
        <v>91831.07</v>
      </c>
      <c r="N114" s="55">
        <v>0.6</v>
      </c>
      <c r="O114" s="43"/>
      <c r="P114" s="43"/>
      <c r="Q114" s="265"/>
      <c r="R114" s="265"/>
      <c r="S114" s="265"/>
      <c r="T114" s="265">
        <v>137746.59</v>
      </c>
      <c r="U114" s="265"/>
      <c r="V114" s="265"/>
      <c r="W114" s="265"/>
      <c r="X114" s="265"/>
      <c r="Y114" s="265"/>
      <c r="Z114" s="265"/>
      <c r="AA114" s="198" t="b">
        <f t="shared" si="18"/>
        <v>1</v>
      </c>
      <c r="AB114" s="199">
        <f t="shared" si="19"/>
        <v>0.6</v>
      </c>
      <c r="AC114" s="200" t="b">
        <f t="shared" si="20"/>
        <v>1</v>
      </c>
      <c r="AD114" s="200" t="b">
        <f t="shared" si="21"/>
        <v>1</v>
      </c>
    </row>
    <row r="115" spans="1:30" ht="30" customHeight="1">
      <c r="A115" s="232">
        <v>113</v>
      </c>
      <c r="B115" s="49" t="s">
        <v>550</v>
      </c>
      <c r="C115" s="50" t="s">
        <v>83</v>
      </c>
      <c r="D115" s="51" t="s">
        <v>359</v>
      </c>
      <c r="E115" s="51">
        <v>2408031</v>
      </c>
      <c r="F115" s="49" t="s">
        <v>221</v>
      </c>
      <c r="G115" s="49" t="s">
        <v>445</v>
      </c>
      <c r="H115" s="49" t="s">
        <v>169</v>
      </c>
      <c r="I115" s="52">
        <v>0.64500000000000002</v>
      </c>
      <c r="J115" s="53" t="s">
        <v>574</v>
      </c>
      <c r="K115" s="265">
        <v>364238.65</v>
      </c>
      <c r="L115" s="252">
        <v>200330</v>
      </c>
      <c r="M115" s="265">
        <f t="shared" si="22"/>
        <v>163908.65000000002</v>
      </c>
      <c r="N115" s="55">
        <v>0.55000000000000004</v>
      </c>
      <c r="O115" s="43"/>
      <c r="P115" s="43"/>
      <c r="Q115" s="265"/>
      <c r="R115" s="265"/>
      <c r="S115" s="265"/>
      <c r="T115" s="265">
        <v>200330</v>
      </c>
      <c r="U115" s="265"/>
      <c r="V115" s="265"/>
      <c r="W115" s="265"/>
      <c r="X115" s="265"/>
      <c r="Y115" s="265"/>
      <c r="Z115" s="265"/>
      <c r="AA115" s="198" t="b">
        <f t="shared" si="18"/>
        <v>1</v>
      </c>
      <c r="AB115" s="199">
        <f t="shared" si="19"/>
        <v>0.55000000000000004</v>
      </c>
      <c r="AC115" s="200" t="b">
        <f t="shared" si="20"/>
        <v>1</v>
      </c>
      <c r="AD115" s="200" t="b">
        <f t="shared" si="21"/>
        <v>1</v>
      </c>
    </row>
    <row r="116" spans="1:30" ht="30" customHeight="1">
      <c r="A116" s="232">
        <v>114</v>
      </c>
      <c r="B116" s="49" t="s">
        <v>551</v>
      </c>
      <c r="C116" s="50" t="s">
        <v>83</v>
      </c>
      <c r="D116" s="51" t="s">
        <v>359</v>
      </c>
      <c r="E116" s="51">
        <v>2408031</v>
      </c>
      <c r="F116" s="49" t="s">
        <v>221</v>
      </c>
      <c r="G116" s="49" t="s">
        <v>446</v>
      </c>
      <c r="H116" s="49" t="s">
        <v>169</v>
      </c>
      <c r="I116" s="52">
        <v>0.497</v>
      </c>
      <c r="J116" s="53" t="s">
        <v>574</v>
      </c>
      <c r="K116" s="265">
        <v>300640.86</v>
      </c>
      <c r="L116" s="252">
        <v>165350</v>
      </c>
      <c r="M116" s="265">
        <f t="shared" si="22"/>
        <v>135290.85999999999</v>
      </c>
      <c r="N116" s="55">
        <v>0.55000000000000004</v>
      </c>
      <c r="O116" s="43"/>
      <c r="P116" s="43"/>
      <c r="Q116" s="265"/>
      <c r="R116" s="265"/>
      <c r="S116" s="265"/>
      <c r="T116" s="265">
        <v>165350</v>
      </c>
      <c r="U116" s="265"/>
      <c r="V116" s="265"/>
      <c r="W116" s="265"/>
      <c r="X116" s="265"/>
      <c r="Y116" s="265"/>
      <c r="Z116" s="265"/>
      <c r="AA116" s="198" t="b">
        <f t="shared" si="18"/>
        <v>1</v>
      </c>
      <c r="AB116" s="199">
        <f t="shared" si="19"/>
        <v>0.55000000000000004</v>
      </c>
      <c r="AC116" s="200" t="b">
        <f t="shared" si="20"/>
        <v>1</v>
      </c>
      <c r="AD116" s="200" t="b">
        <f t="shared" si="21"/>
        <v>1</v>
      </c>
    </row>
    <row r="117" spans="1:30" ht="30" customHeight="1">
      <c r="A117" s="232">
        <v>115</v>
      </c>
      <c r="B117" s="49" t="s">
        <v>552</v>
      </c>
      <c r="C117" s="50" t="s">
        <v>83</v>
      </c>
      <c r="D117" s="51" t="s">
        <v>589</v>
      </c>
      <c r="E117" s="51" t="s">
        <v>479</v>
      </c>
      <c r="F117" s="49" t="s">
        <v>486</v>
      </c>
      <c r="G117" s="49" t="s">
        <v>447</v>
      </c>
      <c r="H117" s="49" t="s">
        <v>169</v>
      </c>
      <c r="I117" s="52">
        <v>0.44500000000000001</v>
      </c>
      <c r="J117" s="53" t="s">
        <v>572</v>
      </c>
      <c r="K117" s="265">
        <v>336486</v>
      </c>
      <c r="L117" s="252">
        <v>168243</v>
      </c>
      <c r="M117" s="265">
        <f t="shared" si="22"/>
        <v>168243</v>
      </c>
      <c r="N117" s="55">
        <v>0.5</v>
      </c>
      <c r="O117" s="43"/>
      <c r="P117" s="43"/>
      <c r="Q117" s="265"/>
      <c r="R117" s="265"/>
      <c r="S117" s="265"/>
      <c r="T117" s="265">
        <v>168243</v>
      </c>
      <c r="U117" s="265"/>
      <c r="V117" s="265"/>
      <c r="W117" s="265"/>
      <c r="X117" s="265"/>
      <c r="Y117" s="265"/>
      <c r="Z117" s="265"/>
      <c r="AA117" s="198" t="b">
        <f t="shared" si="18"/>
        <v>1</v>
      </c>
      <c r="AB117" s="199">
        <f t="shared" si="19"/>
        <v>0.5</v>
      </c>
      <c r="AC117" s="200" t="b">
        <f t="shared" si="20"/>
        <v>1</v>
      </c>
      <c r="AD117" s="200" t="b">
        <f t="shared" si="21"/>
        <v>1</v>
      </c>
    </row>
    <row r="118" spans="1:30" ht="30" customHeight="1">
      <c r="A118" s="232">
        <v>116</v>
      </c>
      <c r="B118" s="49" t="s">
        <v>553</v>
      </c>
      <c r="C118" s="50" t="s">
        <v>83</v>
      </c>
      <c r="D118" s="51" t="s">
        <v>268</v>
      </c>
      <c r="E118" s="51" t="s">
        <v>269</v>
      </c>
      <c r="F118" s="49" t="s">
        <v>270</v>
      </c>
      <c r="G118" s="49" t="s">
        <v>448</v>
      </c>
      <c r="H118" s="49" t="s">
        <v>50</v>
      </c>
      <c r="I118" s="52">
        <v>7.6999999999999999E-2</v>
      </c>
      <c r="J118" s="53" t="s">
        <v>628</v>
      </c>
      <c r="K118" s="265">
        <v>249752.72</v>
      </c>
      <c r="L118" s="252">
        <v>199802.17</v>
      </c>
      <c r="M118" s="253">
        <f>K118-L118</f>
        <v>49950.549999999988</v>
      </c>
      <c r="N118" s="55">
        <v>0.8</v>
      </c>
      <c r="O118" s="43"/>
      <c r="P118" s="43"/>
      <c r="Q118" s="265"/>
      <c r="R118" s="265"/>
      <c r="S118" s="265"/>
      <c r="T118" s="265">
        <f>L118</f>
        <v>199802.17</v>
      </c>
      <c r="U118" s="265"/>
      <c r="V118" s="265"/>
      <c r="W118" s="265"/>
      <c r="X118" s="265"/>
      <c r="Y118" s="265"/>
      <c r="Z118" s="265"/>
      <c r="AA118" s="198" t="b">
        <f t="shared" si="18"/>
        <v>1</v>
      </c>
      <c r="AB118" s="199">
        <f t="shared" si="19"/>
        <v>0.8</v>
      </c>
      <c r="AC118" s="200" t="b">
        <f t="shared" si="20"/>
        <v>1</v>
      </c>
      <c r="AD118" s="200" t="b">
        <f t="shared" si="21"/>
        <v>1</v>
      </c>
    </row>
    <row r="119" spans="1:30" ht="20.100000000000001" customHeight="1">
      <c r="A119" s="346" t="s">
        <v>42</v>
      </c>
      <c r="B119" s="347"/>
      <c r="C119" s="347"/>
      <c r="D119" s="347"/>
      <c r="E119" s="347"/>
      <c r="F119" s="347"/>
      <c r="G119" s="347"/>
      <c r="H119" s="348"/>
      <c r="I119" s="257">
        <f>SUM(I3:I118)</f>
        <v>88.664000000000016</v>
      </c>
      <c r="J119" s="258" t="s">
        <v>14</v>
      </c>
      <c r="K119" s="69">
        <f>SUM(K3:K118)</f>
        <v>385332245.83999979</v>
      </c>
      <c r="L119" s="69">
        <f>SUM(L3:L118)</f>
        <v>185314426.85999992</v>
      </c>
      <c r="M119" s="69">
        <f>SUM(M3:M118)</f>
        <v>200017818.97999996</v>
      </c>
      <c r="N119" s="259" t="s">
        <v>14</v>
      </c>
      <c r="O119" s="69">
        <f t="shared" ref="O119:Z119" si="23">SUM(O3:O118)</f>
        <v>0</v>
      </c>
      <c r="P119" s="69">
        <f t="shared" si="23"/>
        <v>0</v>
      </c>
      <c r="Q119" s="260">
        <f t="shared" si="23"/>
        <v>4414130</v>
      </c>
      <c r="R119" s="260">
        <f t="shared" si="23"/>
        <v>4519307</v>
      </c>
      <c r="S119" s="260">
        <f t="shared" si="23"/>
        <v>16681380.76</v>
      </c>
      <c r="T119" s="260">
        <f t="shared" si="23"/>
        <v>119263549.81999999</v>
      </c>
      <c r="U119" s="260">
        <f t="shared" si="23"/>
        <v>26270299.649999999</v>
      </c>
      <c r="V119" s="260">
        <f t="shared" si="23"/>
        <v>14165759.630000001</v>
      </c>
      <c r="W119" s="260">
        <f t="shared" si="23"/>
        <v>0</v>
      </c>
      <c r="X119" s="260">
        <f t="shared" si="23"/>
        <v>0</v>
      </c>
      <c r="Y119" s="260">
        <f t="shared" si="23"/>
        <v>0</v>
      </c>
      <c r="Z119" s="260">
        <f t="shared" si="23"/>
        <v>0</v>
      </c>
      <c r="AA119" s="196" t="b">
        <f t="shared" si="3"/>
        <v>1</v>
      </c>
      <c r="AB119" s="206">
        <f t="shared" si="0"/>
        <v>0.48089999999999999</v>
      </c>
      <c r="AC119" s="207" t="s">
        <v>14</v>
      </c>
      <c r="AD119" s="207" t="b">
        <f t="shared" si="2"/>
        <v>1</v>
      </c>
    </row>
    <row r="120" spans="1:30" ht="20.100000000000001" customHeight="1">
      <c r="A120" s="346" t="s">
        <v>35</v>
      </c>
      <c r="B120" s="347"/>
      <c r="C120" s="347"/>
      <c r="D120" s="347"/>
      <c r="E120" s="347"/>
      <c r="F120" s="347"/>
      <c r="G120" s="347"/>
      <c r="H120" s="348"/>
      <c r="I120" s="257">
        <f>SUMIF($C$3:$C$118,"K",I3:I118)</f>
        <v>24.219000000000005</v>
      </c>
      <c r="J120" s="258" t="s">
        <v>14</v>
      </c>
      <c r="K120" s="69">
        <f>SUMIF($C$3:$C$118,"K",K3:K118)</f>
        <v>132203595.48999998</v>
      </c>
      <c r="L120" s="69">
        <f>SUMIF($C$3:$C$118,"K",L3:L118)</f>
        <v>60737706.709999993</v>
      </c>
      <c r="M120" s="69">
        <f>SUMIF($C$3:$C$118,"K",M3:M118)</f>
        <v>71465888.779999986</v>
      </c>
      <c r="N120" s="259" t="s">
        <v>14</v>
      </c>
      <c r="O120" s="69">
        <f t="shared" ref="O120:Z120" si="24">SUMIF($C$3:$C$118,"K",O3:O118)</f>
        <v>0</v>
      </c>
      <c r="P120" s="69">
        <f t="shared" si="24"/>
        <v>0</v>
      </c>
      <c r="Q120" s="260">
        <f t="shared" si="24"/>
        <v>4414130</v>
      </c>
      <c r="R120" s="260">
        <f t="shared" si="24"/>
        <v>4519307</v>
      </c>
      <c r="S120" s="260">
        <f t="shared" si="24"/>
        <v>16681380.76</v>
      </c>
      <c r="T120" s="260">
        <f t="shared" si="24"/>
        <v>25803192.609999999</v>
      </c>
      <c r="U120" s="260">
        <f t="shared" si="24"/>
        <v>6336009.3599999994</v>
      </c>
      <c r="V120" s="260">
        <f t="shared" si="24"/>
        <v>2983686.98</v>
      </c>
      <c r="W120" s="260">
        <f t="shared" si="24"/>
        <v>0</v>
      </c>
      <c r="X120" s="260">
        <f t="shared" si="24"/>
        <v>0</v>
      </c>
      <c r="Y120" s="260">
        <f t="shared" si="24"/>
        <v>0</v>
      </c>
      <c r="Z120" s="260">
        <f t="shared" si="24"/>
        <v>0</v>
      </c>
      <c r="AA120" s="196" t="b">
        <f t="shared" si="3"/>
        <v>1</v>
      </c>
      <c r="AB120" s="206">
        <f t="shared" si="0"/>
        <v>0.45939999999999998</v>
      </c>
      <c r="AC120" s="207" t="s">
        <v>14</v>
      </c>
      <c r="AD120" s="207" t="b">
        <f t="shared" si="2"/>
        <v>1</v>
      </c>
    </row>
    <row r="121" spans="1:30" ht="20.100000000000001" customHeight="1">
      <c r="A121" s="346" t="s">
        <v>36</v>
      </c>
      <c r="B121" s="347"/>
      <c r="C121" s="347"/>
      <c r="D121" s="347"/>
      <c r="E121" s="347"/>
      <c r="F121" s="347"/>
      <c r="G121" s="347"/>
      <c r="H121" s="348"/>
      <c r="I121" s="257">
        <f>SUMIF($C$3:$C$118,"N",I3:I118)</f>
        <v>43.637000000000015</v>
      </c>
      <c r="J121" s="258" t="s">
        <v>14</v>
      </c>
      <c r="K121" s="69">
        <f>SUMIF($C$3:$C$118,"N",K3:K118)</f>
        <v>107930608.55</v>
      </c>
      <c r="L121" s="69">
        <f>SUMIF($C$3:$C$118,"N",L3:L118)</f>
        <v>62106035.860000037</v>
      </c>
      <c r="M121" s="69">
        <f>SUMIF($C$3:$C$118,"N",M3:M118)</f>
        <v>45824572.690000005</v>
      </c>
      <c r="N121" s="259" t="s">
        <v>14</v>
      </c>
      <c r="O121" s="69">
        <f t="shared" ref="O121:Z121" si="25">SUMIF($C$3:$C$118,"N",O3:O118)</f>
        <v>0</v>
      </c>
      <c r="P121" s="69">
        <f t="shared" si="25"/>
        <v>0</v>
      </c>
      <c r="Q121" s="260">
        <f t="shared" si="25"/>
        <v>0</v>
      </c>
      <c r="R121" s="260">
        <f t="shared" si="25"/>
        <v>0</v>
      </c>
      <c r="S121" s="260">
        <f t="shared" si="25"/>
        <v>0</v>
      </c>
      <c r="T121" s="260">
        <f t="shared" si="25"/>
        <v>62106035.860000037</v>
      </c>
      <c r="U121" s="260">
        <f t="shared" si="25"/>
        <v>0</v>
      </c>
      <c r="V121" s="260">
        <f t="shared" si="25"/>
        <v>0</v>
      </c>
      <c r="W121" s="260">
        <f t="shared" si="25"/>
        <v>0</v>
      </c>
      <c r="X121" s="260">
        <f t="shared" si="25"/>
        <v>0</v>
      </c>
      <c r="Y121" s="260">
        <f t="shared" si="25"/>
        <v>0</v>
      </c>
      <c r="Z121" s="260">
        <f t="shared" si="25"/>
        <v>0</v>
      </c>
      <c r="AA121" s="196" t="b">
        <f t="shared" si="3"/>
        <v>1</v>
      </c>
      <c r="AB121" s="206">
        <f t="shared" si="0"/>
        <v>0.57540000000000002</v>
      </c>
      <c r="AC121" s="207" t="s">
        <v>14</v>
      </c>
      <c r="AD121" s="207" t="b">
        <f t="shared" si="2"/>
        <v>1</v>
      </c>
    </row>
    <row r="122" spans="1:30" ht="20.100000000000001" customHeight="1">
      <c r="A122" s="343" t="s">
        <v>37</v>
      </c>
      <c r="B122" s="344"/>
      <c r="C122" s="344"/>
      <c r="D122" s="344"/>
      <c r="E122" s="344"/>
      <c r="F122" s="344"/>
      <c r="G122" s="344"/>
      <c r="H122" s="345"/>
      <c r="I122" s="261">
        <f>SUMIF($C$3:$C$118,"W",I3:I118)</f>
        <v>20.808</v>
      </c>
      <c r="J122" s="262" t="s">
        <v>14</v>
      </c>
      <c r="K122" s="74">
        <f>SUMIF($C$3:$C$118,"W",K3:K118)</f>
        <v>145198041.79999998</v>
      </c>
      <c r="L122" s="74">
        <f>SUMIF($C$3:$C$118,"W",L3:L118)</f>
        <v>62470684.290000007</v>
      </c>
      <c r="M122" s="74">
        <f>SUMIF($C$3:$C$118,"W",M3:M118)</f>
        <v>82727357.50999999</v>
      </c>
      <c r="N122" s="263" t="s">
        <v>14</v>
      </c>
      <c r="O122" s="74">
        <f t="shared" ref="O122:Z122" si="26">SUMIF($C$3:$C$118,"W",O3:O118)</f>
        <v>0</v>
      </c>
      <c r="P122" s="74">
        <f t="shared" si="26"/>
        <v>0</v>
      </c>
      <c r="Q122" s="264">
        <f t="shared" si="26"/>
        <v>0</v>
      </c>
      <c r="R122" s="264">
        <f t="shared" si="26"/>
        <v>0</v>
      </c>
      <c r="S122" s="264">
        <f t="shared" si="26"/>
        <v>0</v>
      </c>
      <c r="T122" s="264">
        <f t="shared" si="26"/>
        <v>31354321.350000001</v>
      </c>
      <c r="U122" s="264">
        <f t="shared" si="26"/>
        <v>19934290.289999999</v>
      </c>
      <c r="V122" s="264">
        <f t="shared" si="26"/>
        <v>11182072.65</v>
      </c>
      <c r="W122" s="264">
        <f t="shared" si="26"/>
        <v>0</v>
      </c>
      <c r="X122" s="264">
        <f t="shared" si="26"/>
        <v>0</v>
      </c>
      <c r="Y122" s="264">
        <f t="shared" si="26"/>
        <v>0</v>
      </c>
      <c r="Z122" s="264">
        <f t="shared" si="26"/>
        <v>0</v>
      </c>
      <c r="AA122" s="196" t="b">
        <f t="shared" si="3"/>
        <v>1</v>
      </c>
      <c r="AB122" s="206">
        <f t="shared" ref="AB122" si="27">ROUND(L122/K122,4)</f>
        <v>0.43020000000000003</v>
      </c>
      <c r="AC122" s="207" t="s">
        <v>14</v>
      </c>
      <c r="AD122" s="207" t="b">
        <f t="shared" ref="AD122" si="28">K122=L122+M122</f>
        <v>1</v>
      </c>
    </row>
    <row r="123" spans="1:30">
      <c r="A123" s="218"/>
      <c r="K123" s="300"/>
    </row>
    <row r="124" spans="1:30">
      <c r="A124" s="211" t="s">
        <v>22</v>
      </c>
      <c r="L124" s="301"/>
    </row>
    <row r="125" spans="1:30">
      <c r="A125" s="214" t="s">
        <v>23</v>
      </c>
    </row>
    <row r="126" spans="1:30">
      <c r="A126" s="211" t="s">
        <v>40</v>
      </c>
    </row>
    <row r="127" spans="1:30">
      <c r="A127" s="217" t="s">
        <v>44</v>
      </c>
    </row>
  </sheetData>
  <autoFilter ref="A2:DI122" xr:uid="{00000000-0009-0000-0000-000002000000}"/>
  <mergeCells count="19">
    <mergeCell ref="O1:Z1"/>
    <mergeCell ref="A122:H122"/>
    <mergeCell ref="A121:H121"/>
    <mergeCell ref="E1:E2"/>
    <mergeCell ref="A120:H120"/>
    <mergeCell ref="N1:N2"/>
    <mergeCell ref="L1:L2"/>
    <mergeCell ref="M1:M2"/>
    <mergeCell ref="A119:H119"/>
    <mergeCell ref="H1:H2"/>
    <mergeCell ref="I1:I2"/>
    <mergeCell ref="J1:J2"/>
    <mergeCell ref="K1:K2"/>
    <mergeCell ref="A1:A2"/>
    <mergeCell ref="B1:B2"/>
    <mergeCell ref="C1:C2"/>
    <mergeCell ref="F1:F2"/>
    <mergeCell ref="G1:G2"/>
    <mergeCell ref="D1:D2"/>
  </mergeCells>
  <conditionalFormatting sqref="AA119:AA122 AB119:AD120 AA3:AD118">
    <cfRule type="cellIs" dxfId="50" priority="25" operator="equal">
      <formula>FALSE</formula>
    </cfRule>
  </conditionalFormatting>
  <conditionalFormatting sqref="AA119:AA122 AB119:AC120 AA3:AC118">
    <cfRule type="containsText" dxfId="49" priority="23" operator="containsText" text="fałsz">
      <formula>NOT(ISERROR(SEARCH("fałsz",AA3)))</formula>
    </cfRule>
  </conditionalFormatting>
  <conditionalFormatting sqref="AB122:AC122">
    <cfRule type="cellIs" dxfId="48" priority="20" operator="equal">
      <formula>FALSE</formula>
    </cfRule>
  </conditionalFormatting>
  <conditionalFormatting sqref="AB122:AC122">
    <cfRule type="containsText" dxfId="47" priority="18" operator="containsText" text="fałsz">
      <formula>NOT(ISERROR(SEARCH("fałsz",AB122)))</formula>
    </cfRule>
  </conditionalFormatting>
  <conditionalFormatting sqref="AD122">
    <cfRule type="cellIs" dxfId="46" priority="17" operator="equal">
      <formula>FALSE</formula>
    </cfRule>
  </conditionalFormatting>
  <conditionalFormatting sqref="AD122">
    <cfRule type="cellIs" dxfId="45" priority="16" operator="equal">
      <formula>FALSE</formula>
    </cfRule>
  </conditionalFormatting>
  <conditionalFormatting sqref="AB121:AC121">
    <cfRule type="cellIs" dxfId="44" priority="15" operator="equal">
      <formula>FALSE</formula>
    </cfRule>
  </conditionalFormatting>
  <conditionalFormatting sqref="AB121:AC121">
    <cfRule type="containsText" dxfId="43" priority="13" operator="containsText" text="fałsz">
      <formula>NOT(ISERROR(SEARCH("fałsz",AB121)))</formula>
    </cfRule>
  </conditionalFormatting>
  <conditionalFormatting sqref="AD121">
    <cfRule type="cellIs" dxfId="42" priority="12" operator="equal">
      <formula>FALSE</formula>
    </cfRule>
  </conditionalFormatting>
  <conditionalFormatting sqref="AD121">
    <cfRule type="cellIs" dxfId="41" priority="11" operator="equal">
      <formula>FALSE</formula>
    </cfRule>
  </conditionalFormatting>
  <conditionalFormatting sqref="Y27:AB27">
    <cfRule type="containsText" dxfId="40" priority="10" operator="containsText" text="fałsz">
      <formula>NOT(ISERROR(SEARCH("fałsz",Y27)))</formula>
    </cfRule>
  </conditionalFormatting>
  <conditionalFormatting sqref="Y27:AB27">
    <cfRule type="containsText" dxfId="39" priority="9" operator="containsText" text="fałsz">
      <formula>NOT(ISERROR(SEARCH("fałsz",Y27)))</formula>
    </cfRule>
  </conditionalFormatting>
  <conditionalFormatting sqref="Y27:AB27">
    <cfRule type="containsText" dxfId="38" priority="8" operator="containsText" text="fałsz">
      <formula>NOT(ISERROR(SEARCH("fałsz",Y27)))</formula>
    </cfRule>
  </conditionalFormatting>
  <conditionalFormatting sqref="Y27:AB27">
    <cfRule type="containsText" dxfId="37" priority="7" operator="containsText" text="fałsz">
      <formula>NOT(ISERROR(SEARCH("fałsz",Y27)))</formula>
    </cfRule>
  </conditionalFormatting>
  <conditionalFormatting sqref="Y27:AB27">
    <cfRule type="containsText" dxfId="36" priority="6" operator="containsText" text="fałsz">
      <formula>NOT(ISERROR(SEARCH("fałsz",Y27)))</formula>
    </cfRule>
  </conditionalFormatting>
  <conditionalFormatting sqref="Y27:AB27">
    <cfRule type="containsText" dxfId="35" priority="5" operator="containsText" text="fałsz">
      <formula>NOT(ISERROR(SEARCH("fałsz",Y27)))</formula>
    </cfRule>
  </conditionalFormatting>
  <conditionalFormatting sqref="Y27:AB27">
    <cfRule type="containsText" dxfId="34" priority="4" operator="containsText" text="fałsz">
      <formula>NOT(ISERROR(SEARCH("fałsz",Y27)))</formula>
    </cfRule>
  </conditionalFormatting>
  <conditionalFormatting sqref="Y27:AB27">
    <cfRule type="containsText" dxfId="33" priority="3" operator="containsText" text="fałsz">
      <formula>NOT(ISERROR(SEARCH("fałsz",Y27)))</formula>
    </cfRule>
  </conditionalFormatting>
  <conditionalFormatting sqref="Y27:AB27">
    <cfRule type="containsText" dxfId="32" priority="2" operator="containsText" text="fałsz">
      <formula>NOT(ISERROR(SEARCH("fałsz",Y27)))</formula>
    </cfRule>
  </conditionalFormatting>
  <conditionalFormatting sqref="Y27:AB27">
    <cfRule type="containsText" dxfId="31" priority="1" operator="containsText" text="fałsz">
      <formula>NOT(ISERROR(SEARCH("fałsz",Y27)))</formula>
    </cfRule>
  </conditionalFormatting>
  <dataValidations count="2">
    <dataValidation type="list" allowBlank="1" showInputMessage="1" showErrorMessage="1" sqref="H3:H118" xr:uid="{00000000-0002-0000-0200-000000000000}">
      <formula1>"B,P,R"</formula1>
    </dataValidation>
    <dataValidation type="list" allowBlank="1" showInputMessage="1" showErrorMessage="1" sqref="C3:C118" xr:uid="{00000000-0002-0000-0200-000001000000}">
      <formula1>"N,K,W"</formula1>
    </dataValidation>
  </dataValidations>
  <pageMargins left="0.23622047244094491" right="0.23622047244094491" top="0.74803149606299213" bottom="0.74803149606299213" header="0.31496062992125984" footer="0.31496062992125984"/>
  <pageSetup paperSize="8" scale="44" fitToHeight="0" orientation="landscape" r:id="rId1"/>
  <headerFooter>
    <oddHeader>&amp;L&amp;K000000Województwo śląskie - zadania gminne lista podstawowa</oddHeader>
    <oddFooter>Strona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D13"/>
  <sheetViews>
    <sheetView showGridLines="0" zoomScale="78" zoomScaleNormal="78" zoomScaleSheetLayoutView="85" workbookViewId="0">
      <selection activeCell="M21" sqref="M21"/>
    </sheetView>
  </sheetViews>
  <sheetFormatPr defaultColWidth="9.28515625" defaultRowHeight="15"/>
  <cols>
    <col min="1" max="9" width="15.7109375" style="12" customWidth="1"/>
    <col min="10" max="10" width="15.7109375" style="34" customWidth="1"/>
    <col min="11" max="11" width="18.5703125" style="12" customWidth="1"/>
    <col min="12" max="12" width="15.7109375" style="12" customWidth="1"/>
    <col min="13" max="13" width="15.7109375" style="1" customWidth="1"/>
    <col min="14" max="29" width="15.7109375" style="12" customWidth="1"/>
    <col min="30" max="16384" width="9.28515625" style="12"/>
  </cols>
  <sheetData>
    <row r="1" spans="1:30" ht="20.100000000000001" customHeight="1">
      <c r="A1" s="350" t="s">
        <v>4</v>
      </c>
      <c r="B1" s="350" t="s">
        <v>5</v>
      </c>
      <c r="C1" s="351" t="s">
        <v>43</v>
      </c>
      <c r="D1" s="353" t="s">
        <v>6</v>
      </c>
      <c r="E1" s="351" t="s">
        <v>30</v>
      </c>
      <c r="F1" s="353" t="s">
        <v>7</v>
      </c>
      <c r="G1" s="350" t="s">
        <v>24</v>
      </c>
      <c r="H1" s="350" t="s">
        <v>8</v>
      </c>
      <c r="I1" s="350" t="s">
        <v>21</v>
      </c>
      <c r="J1" s="337" t="s">
        <v>9</v>
      </c>
      <c r="K1" s="350" t="s">
        <v>10</v>
      </c>
      <c r="L1" s="353" t="s">
        <v>13</v>
      </c>
      <c r="M1" s="350" t="s">
        <v>11</v>
      </c>
      <c r="N1" s="352" t="s">
        <v>12</v>
      </c>
      <c r="O1" s="356"/>
      <c r="P1" s="356"/>
      <c r="Q1" s="356"/>
      <c r="R1" s="356"/>
      <c r="S1" s="356"/>
      <c r="T1" s="356"/>
      <c r="U1" s="356"/>
      <c r="V1" s="356"/>
      <c r="W1" s="356"/>
      <c r="X1" s="356"/>
      <c r="Y1" s="356"/>
    </row>
    <row r="2" spans="1:30" ht="20.100000000000001" customHeight="1">
      <c r="A2" s="350"/>
      <c r="B2" s="350"/>
      <c r="C2" s="352"/>
      <c r="D2" s="354"/>
      <c r="E2" s="352"/>
      <c r="F2" s="354"/>
      <c r="G2" s="350"/>
      <c r="H2" s="350"/>
      <c r="I2" s="350"/>
      <c r="J2" s="337"/>
      <c r="K2" s="350"/>
      <c r="L2" s="354"/>
      <c r="M2" s="350"/>
      <c r="N2" s="33">
        <v>2019</v>
      </c>
      <c r="O2" s="33">
        <v>2020</v>
      </c>
      <c r="P2" s="33">
        <v>2021</v>
      </c>
      <c r="Q2" s="33">
        <v>2022</v>
      </c>
      <c r="R2" s="33">
        <v>2023</v>
      </c>
      <c r="S2" s="33">
        <v>2024</v>
      </c>
      <c r="T2" s="33">
        <v>2025</v>
      </c>
      <c r="U2" s="33">
        <v>2026</v>
      </c>
      <c r="V2" s="33">
        <v>2027</v>
      </c>
      <c r="W2" s="33">
        <v>2028</v>
      </c>
      <c r="X2" s="187">
        <v>2029</v>
      </c>
      <c r="Y2" s="187">
        <v>2030</v>
      </c>
      <c r="Z2" s="1" t="s">
        <v>26</v>
      </c>
      <c r="AA2" s="1" t="s">
        <v>27</v>
      </c>
      <c r="AB2" s="1" t="s">
        <v>28</v>
      </c>
      <c r="AC2" s="38" t="s">
        <v>29</v>
      </c>
    </row>
    <row r="3" spans="1:30" s="41" customFormat="1" ht="30" customHeight="1">
      <c r="A3" s="60"/>
      <c r="B3" s="60"/>
      <c r="C3" s="61"/>
      <c r="D3" s="62"/>
      <c r="E3" s="62"/>
      <c r="F3" s="60"/>
      <c r="G3" s="60"/>
      <c r="H3" s="63"/>
      <c r="I3" s="64"/>
      <c r="J3" s="57"/>
      <c r="K3" s="58"/>
      <c r="L3" s="59"/>
      <c r="M3" s="65"/>
      <c r="N3" s="58"/>
      <c r="O3" s="58"/>
      <c r="P3" s="66"/>
      <c r="Q3" s="66"/>
      <c r="R3" s="66"/>
      <c r="S3" s="66"/>
      <c r="T3" s="66"/>
      <c r="U3" s="66"/>
      <c r="V3" s="66"/>
      <c r="W3" s="66"/>
      <c r="X3" s="66"/>
      <c r="Y3" s="66"/>
      <c r="Z3" s="1" t="b">
        <f>K3=SUM(N3:Y3)</f>
        <v>1</v>
      </c>
      <c r="AA3" s="39" t="e">
        <f t="shared" ref="AA3" si="0">ROUND(K3/J3,4)</f>
        <v>#DIV/0!</v>
      </c>
      <c r="AB3" s="40" t="e">
        <f t="shared" ref="AB3" si="1">AA3=M3</f>
        <v>#DIV/0!</v>
      </c>
      <c r="AC3" s="40" t="b">
        <f t="shared" ref="AC3" si="2">J3=K3+L3</f>
        <v>1</v>
      </c>
      <c r="AD3" s="42"/>
    </row>
    <row r="4" spans="1:30" s="41" customFormat="1" ht="30" customHeight="1">
      <c r="A4" s="77"/>
      <c r="B4" s="77"/>
      <c r="C4" s="77"/>
      <c r="D4" s="78"/>
      <c r="E4" s="78"/>
      <c r="F4" s="77"/>
      <c r="G4" s="77"/>
      <c r="H4" s="79"/>
      <c r="I4" s="80"/>
      <c r="J4" s="81"/>
      <c r="K4" s="82"/>
      <c r="L4" s="81"/>
      <c r="M4" s="83"/>
      <c r="N4" s="81"/>
      <c r="O4" s="82"/>
      <c r="P4" s="84"/>
      <c r="Q4" s="84"/>
      <c r="R4" s="84"/>
      <c r="S4" s="84"/>
      <c r="T4" s="84"/>
      <c r="U4" s="84"/>
      <c r="V4" s="84"/>
      <c r="W4" s="84"/>
      <c r="X4" s="84"/>
      <c r="Y4" s="84"/>
      <c r="Z4" s="1" t="b">
        <f t="shared" ref="Z4:Z8" si="3">K4=SUM(N4:Y4)</f>
        <v>1</v>
      </c>
      <c r="AA4" s="39" t="e">
        <f t="shared" ref="AA4:AA8" si="4">ROUND(K4/J4,4)</f>
        <v>#DIV/0!</v>
      </c>
      <c r="AB4" s="40" t="e">
        <f t="shared" ref="AB4:AB5" si="5">AA4=M4</f>
        <v>#DIV/0!</v>
      </c>
      <c r="AC4" s="40" t="b">
        <f t="shared" ref="AC4:AC8" si="6">J4=K4+L4</f>
        <v>1</v>
      </c>
      <c r="AD4" s="42"/>
    </row>
    <row r="5" spans="1:30" s="41" customFormat="1" ht="30" customHeight="1">
      <c r="A5" s="77"/>
      <c r="B5" s="77"/>
      <c r="C5" s="77"/>
      <c r="D5" s="78"/>
      <c r="E5" s="78"/>
      <c r="F5" s="77"/>
      <c r="G5" s="77"/>
      <c r="H5" s="79"/>
      <c r="I5" s="80"/>
      <c r="J5" s="81"/>
      <c r="K5" s="81"/>
      <c r="L5" s="81"/>
      <c r="M5" s="83"/>
      <c r="N5" s="81"/>
      <c r="O5" s="81"/>
      <c r="P5" s="84"/>
      <c r="Q5" s="84"/>
      <c r="R5" s="84"/>
      <c r="S5" s="84"/>
      <c r="T5" s="84"/>
      <c r="U5" s="84"/>
      <c r="V5" s="84"/>
      <c r="W5" s="84"/>
      <c r="X5" s="84"/>
      <c r="Y5" s="84"/>
      <c r="Z5" s="1" t="b">
        <f t="shared" si="3"/>
        <v>1</v>
      </c>
      <c r="AA5" s="39" t="e">
        <f t="shared" si="4"/>
        <v>#DIV/0!</v>
      </c>
      <c r="AB5" s="40" t="e">
        <f t="shared" si="5"/>
        <v>#DIV/0!</v>
      </c>
      <c r="AC5" s="40" t="b">
        <f t="shared" si="6"/>
        <v>1</v>
      </c>
      <c r="AD5" s="42"/>
    </row>
    <row r="6" spans="1:30" ht="20.100000000000001" customHeight="1">
      <c r="A6" s="355" t="s">
        <v>42</v>
      </c>
      <c r="B6" s="355"/>
      <c r="C6" s="355"/>
      <c r="D6" s="355"/>
      <c r="E6" s="355"/>
      <c r="F6" s="355"/>
      <c r="G6" s="355"/>
      <c r="H6" s="67">
        <f>SUM(H3:H5)</f>
        <v>0</v>
      </c>
      <c r="I6" s="68" t="s">
        <v>14</v>
      </c>
      <c r="J6" s="69">
        <f t="shared" ref="J6:L6" si="7">SUM(J3:J5)</f>
        <v>0</v>
      </c>
      <c r="K6" s="70">
        <f t="shared" si="7"/>
        <v>0</v>
      </c>
      <c r="L6" s="70">
        <f t="shared" si="7"/>
        <v>0</v>
      </c>
      <c r="M6" s="71" t="s">
        <v>14</v>
      </c>
      <c r="N6" s="85">
        <f>SUM(N3:N5)</f>
        <v>0</v>
      </c>
      <c r="O6" s="85">
        <f t="shared" ref="O6:W6" si="8">SUM(O3:O5)</f>
        <v>0</v>
      </c>
      <c r="P6" s="85">
        <f t="shared" si="8"/>
        <v>0</v>
      </c>
      <c r="Q6" s="85">
        <f t="shared" si="8"/>
        <v>0</v>
      </c>
      <c r="R6" s="85">
        <f t="shared" si="8"/>
        <v>0</v>
      </c>
      <c r="S6" s="85">
        <f t="shared" si="8"/>
        <v>0</v>
      </c>
      <c r="T6" s="85">
        <f t="shared" si="8"/>
        <v>0</v>
      </c>
      <c r="U6" s="85">
        <f t="shared" si="8"/>
        <v>0</v>
      </c>
      <c r="V6" s="85">
        <f t="shared" si="8"/>
        <v>0</v>
      </c>
      <c r="W6" s="85">
        <f t="shared" si="8"/>
        <v>0</v>
      </c>
      <c r="X6" s="85">
        <f t="shared" ref="X6:Y6" si="9">SUM(X3:X5)</f>
        <v>0</v>
      </c>
      <c r="Y6" s="85">
        <f t="shared" si="9"/>
        <v>0</v>
      </c>
      <c r="Z6" s="1" t="b">
        <f t="shared" si="3"/>
        <v>1</v>
      </c>
      <c r="AA6" s="39" t="e">
        <f t="shared" ref="AA6" si="10">ROUND(K6/J6,4)</f>
        <v>#DIV/0!</v>
      </c>
      <c r="AB6" s="40" t="s">
        <v>14</v>
      </c>
      <c r="AC6" s="40" t="b">
        <f t="shared" ref="AC6" si="11">J6=K6+L6</f>
        <v>1</v>
      </c>
      <c r="AD6" s="32"/>
    </row>
    <row r="7" spans="1:30" ht="20.100000000000001" customHeight="1">
      <c r="A7" s="355" t="s">
        <v>36</v>
      </c>
      <c r="B7" s="355"/>
      <c r="C7" s="355"/>
      <c r="D7" s="355"/>
      <c r="E7" s="355"/>
      <c r="F7" s="355"/>
      <c r="G7" s="355"/>
      <c r="H7" s="67">
        <f>SUMIF($C$3:$C$5,"N",H3:H5)</f>
        <v>0</v>
      </c>
      <c r="I7" s="68" t="s">
        <v>14</v>
      </c>
      <c r="J7" s="69">
        <f t="shared" ref="J7:L7" si="12">SUMIF($C$3:$C$5,"N",J3:J5)</f>
        <v>0</v>
      </c>
      <c r="K7" s="70">
        <f t="shared" si="12"/>
        <v>0</v>
      </c>
      <c r="L7" s="70">
        <f t="shared" si="12"/>
        <v>0</v>
      </c>
      <c r="M7" s="71" t="s">
        <v>14</v>
      </c>
      <c r="N7" s="85">
        <f t="shared" ref="N7:W7" si="13">SUMIF($C$3:$C$5,"N",N3:N5)</f>
        <v>0</v>
      </c>
      <c r="O7" s="85">
        <f t="shared" si="13"/>
        <v>0</v>
      </c>
      <c r="P7" s="85">
        <f t="shared" si="13"/>
        <v>0</v>
      </c>
      <c r="Q7" s="85">
        <f t="shared" si="13"/>
        <v>0</v>
      </c>
      <c r="R7" s="85">
        <f t="shared" si="13"/>
        <v>0</v>
      </c>
      <c r="S7" s="85">
        <f t="shared" si="13"/>
        <v>0</v>
      </c>
      <c r="T7" s="85">
        <f t="shared" si="13"/>
        <v>0</v>
      </c>
      <c r="U7" s="85">
        <f t="shared" si="13"/>
        <v>0</v>
      </c>
      <c r="V7" s="85">
        <f t="shared" si="13"/>
        <v>0</v>
      </c>
      <c r="W7" s="85">
        <f t="shared" si="13"/>
        <v>0</v>
      </c>
      <c r="X7" s="85">
        <f t="shared" ref="X7:Y7" si="14">SUMIF($C$3:$C$5,"N",X3:X5)</f>
        <v>0</v>
      </c>
      <c r="Y7" s="85">
        <f t="shared" si="14"/>
        <v>0</v>
      </c>
      <c r="Z7" s="1" t="b">
        <f t="shared" si="3"/>
        <v>1</v>
      </c>
      <c r="AA7" s="39" t="e">
        <f t="shared" ref="AA7" si="15">ROUND(K7/J7,4)</f>
        <v>#DIV/0!</v>
      </c>
      <c r="AB7" s="40" t="s">
        <v>14</v>
      </c>
      <c r="AC7" s="40" t="b">
        <f t="shared" ref="AC7" si="16">J7=K7+L7</f>
        <v>1</v>
      </c>
      <c r="AD7" s="32"/>
    </row>
    <row r="8" spans="1:30" ht="20.100000000000001" customHeight="1">
      <c r="A8" s="349" t="s">
        <v>37</v>
      </c>
      <c r="B8" s="349"/>
      <c r="C8" s="349"/>
      <c r="D8" s="349"/>
      <c r="E8" s="349"/>
      <c r="F8" s="349"/>
      <c r="G8" s="349"/>
      <c r="H8" s="72">
        <f>SUMIF($C$3:$C$5,"W",H3:H5)</f>
        <v>0</v>
      </c>
      <c r="I8" s="73" t="s">
        <v>14</v>
      </c>
      <c r="J8" s="74">
        <f>SUMIF($C$3:$C$5,"W",J3:J5)</f>
        <v>0</v>
      </c>
      <c r="K8" s="75">
        <f t="shared" ref="K8:L8" si="17">SUMIF($C$3:$C$5,"W",K3:K5)</f>
        <v>0</v>
      </c>
      <c r="L8" s="75">
        <f t="shared" si="17"/>
        <v>0</v>
      </c>
      <c r="M8" s="76" t="s">
        <v>14</v>
      </c>
      <c r="N8" s="86">
        <f t="shared" ref="N8:W8" si="18">SUMIF($C$3:$C$5,"W",N3:N5)</f>
        <v>0</v>
      </c>
      <c r="O8" s="86">
        <f t="shared" si="18"/>
        <v>0</v>
      </c>
      <c r="P8" s="86">
        <f t="shared" si="18"/>
        <v>0</v>
      </c>
      <c r="Q8" s="86">
        <f t="shared" si="18"/>
        <v>0</v>
      </c>
      <c r="R8" s="86">
        <f t="shared" si="18"/>
        <v>0</v>
      </c>
      <c r="S8" s="86">
        <f t="shared" si="18"/>
        <v>0</v>
      </c>
      <c r="T8" s="86">
        <f t="shared" si="18"/>
        <v>0</v>
      </c>
      <c r="U8" s="86">
        <f t="shared" si="18"/>
        <v>0</v>
      </c>
      <c r="V8" s="86">
        <f t="shared" si="18"/>
        <v>0</v>
      </c>
      <c r="W8" s="86">
        <f t="shared" si="18"/>
        <v>0</v>
      </c>
      <c r="X8" s="86">
        <f t="shared" ref="X8:Y8" si="19">SUMIF($C$3:$C$5,"W",X3:X5)</f>
        <v>0</v>
      </c>
      <c r="Y8" s="86">
        <f t="shared" si="19"/>
        <v>0</v>
      </c>
      <c r="Z8" s="1" t="b">
        <f t="shared" si="3"/>
        <v>1</v>
      </c>
      <c r="AA8" s="39" t="e">
        <f t="shared" si="4"/>
        <v>#DIV/0!</v>
      </c>
      <c r="AB8" s="40" t="s">
        <v>14</v>
      </c>
      <c r="AC8" s="40" t="b">
        <f t="shared" si="6"/>
        <v>1</v>
      </c>
      <c r="AD8" s="32"/>
    </row>
    <row r="9" spans="1:30">
      <c r="A9" s="35"/>
    </row>
    <row r="10" spans="1:30">
      <c r="A10" s="30" t="s">
        <v>22</v>
      </c>
    </row>
    <row r="11" spans="1:30">
      <c r="A11" s="31" t="s">
        <v>23</v>
      </c>
    </row>
    <row r="12" spans="1:30">
      <c r="A12" s="30" t="s">
        <v>33</v>
      </c>
    </row>
    <row r="13" spans="1:30">
      <c r="A13" s="36"/>
    </row>
  </sheetData>
  <mergeCells count="17">
    <mergeCell ref="J1:J2"/>
    <mergeCell ref="K1:K2"/>
    <mergeCell ref="L1:L2"/>
    <mergeCell ref="M1:M2"/>
    <mergeCell ref="N1:Y1"/>
    <mergeCell ref="A8:G8"/>
    <mergeCell ref="I1:I2"/>
    <mergeCell ref="A1:A2"/>
    <mergeCell ref="B1:B2"/>
    <mergeCell ref="C1:C2"/>
    <mergeCell ref="F1:F2"/>
    <mergeCell ref="G1:G2"/>
    <mergeCell ref="H1:H2"/>
    <mergeCell ref="D1:D2"/>
    <mergeCell ref="A6:G6"/>
    <mergeCell ref="E1:E2"/>
    <mergeCell ref="A7:G7"/>
  </mergeCells>
  <conditionalFormatting sqref="AC3:AC5 AC8">
    <cfRule type="cellIs" dxfId="30" priority="14" operator="equal">
      <formula>FALSE</formula>
    </cfRule>
  </conditionalFormatting>
  <conditionalFormatting sqref="AD3:AD5 AD8">
    <cfRule type="cellIs" dxfId="29" priority="19" operator="equal">
      <formula>FALSE</formula>
    </cfRule>
  </conditionalFormatting>
  <conditionalFormatting sqref="AD3:AD5 AD8">
    <cfRule type="cellIs" dxfId="28" priority="18" operator="equal">
      <formula>FALSE</formula>
    </cfRule>
  </conditionalFormatting>
  <conditionalFormatting sqref="AA3:AB5 AA8:AB8">
    <cfRule type="cellIs" dxfId="27" priority="17" operator="equal">
      <formula>FALSE</formula>
    </cfRule>
  </conditionalFormatting>
  <conditionalFormatting sqref="Z3:Z8">
    <cfRule type="cellIs" dxfId="26" priority="16" operator="equal">
      <formula>FALSE</formula>
    </cfRule>
  </conditionalFormatting>
  <conditionalFormatting sqref="Z3:AB3 AA8:AB8 AA4:AB5 Z4:Z8">
    <cfRule type="containsText" dxfId="25" priority="15" operator="containsText" text="fałsz">
      <formula>NOT(ISERROR(SEARCH("fałsz",Z3)))</formula>
    </cfRule>
  </conditionalFormatting>
  <conditionalFormatting sqref="AC3:AC5 AC8">
    <cfRule type="cellIs" dxfId="24" priority="13" operator="equal">
      <formula>FALSE</formula>
    </cfRule>
  </conditionalFormatting>
  <conditionalFormatting sqref="AD6:AD7">
    <cfRule type="cellIs" dxfId="23" priority="12" operator="equal">
      <formula>FALSE</formula>
    </cfRule>
  </conditionalFormatting>
  <conditionalFormatting sqref="AD6:AD7">
    <cfRule type="cellIs" dxfId="22" priority="11" operator="equal">
      <formula>FALSE</formula>
    </cfRule>
  </conditionalFormatting>
  <conditionalFormatting sqref="AA6:AB6">
    <cfRule type="cellIs" dxfId="21" priority="10" operator="equal">
      <formula>FALSE</formula>
    </cfRule>
  </conditionalFormatting>
  <conditionalFormatting sqref="AA6:AB6">
    <cfRule type="containsText" dxfId="20" priority="8" operator="containsText" text="fałsz">
      <formula>NOT(ISERROR(SEARCH("fałsz",AA6)))</formula>
    </cfRule>
  </conditionalFormatting>
  <conditionalFormatting sqref="AC6">
    <cfRule type="cellIs" dxfId="19" priority="7" operator="equal">
      <formula>FALSE</formula>
    </cfRule>
  </conditionalFormatting>
  <conditionalFormatting sqref="AC6">
    <cfRule type="cellIs" dxfId="18" priority="6" operator="equal">
      <formula>FALSE</formula>
    </cfRule>
  </conditionalFormatting>
  <conditionalFormatting sqref="AA7:AB7">
    <cfRule type="cellIs" dxfId="17" priority="5" operator="equal">
      <formula>FALSE</formula>
    </cfRule>
  </conditionalFormatting>
  <conditionalFormatting sqref="AA7:AB7">
    <cfRule type="containsText" dxfId="16" priority="3" operator="containsText" text="fałsz">
      <formula>NOT(ISERROR(SEARCH("fałsz",AA7)))</formula>
    </cfRule>
  </conditionalFormatting>
  <conditionalFormatting sqref="AC7">
    <cfRule type="cellIs" dxfId="15" priority="2" operator="equal">
      <formula>FALSE</formula>
    </cfRule>
  </conditionalFormatting>
  <conditionalFormatting sqref="AC7">
    <cfRule type="cellIs" dxfId="14" priority="1" operator="equal">
      <formula>FALSE</formula>
    </cfRule>
  </conditionalFormatting>
  <dataValidations count="2">
    <dataValidation type="list" allowBlank="1" showInputMessage="1" showErrorMessage="1" sqref="C3:C5" xr:uid="{00000000-0002-0000-0300-000000000000}">
      <formula1>"N,W"</formula1>
    </dataValidation>
    <dataValidation type="list" allowBlank="1" showInputMessage="1" showErrorMessage="1" sqref="G3:G5" xr:uid="{00000000-0002-0000-0300-000001000000}">
      <formula1>"B,P,R"</formula1>
    </dataValidation>
  </dataValidations>
  <pageMargins left="0.23622047244094491" right="0.23622047244094491" top="0.74803149606299213" bottom="0.74803149606299213" header="0.31496062992125984" footer="0.31496062992125984"/>
  <pageSetup paperSize="8" scale="51" fitToHeight="0" orientation="landscape" r:id="rId1"/>
  <headerFooter>
    <oddHeader>&amp;LWojewództwo śląskie - zadania powiatowe lista rezerwowa</oddHeader>
    <oddFooter>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D13"/>
  <sheetViews>
    <sheetView showGridLines="0" zoomScale="78" zoomScaleNormal="78" zoomScaleSheetLayoutView="85" workbookViewId="0">
      <selection activeCell="N19" sqref="N19"/>
    </sheetView>
  </sheetViews>
  <sheetFormatPr defaultColWidth="9.28515625" defaultRowHeight="15"/>
  <cols>
    <col min="1" max="10" width="15.7109375" style="12" customWidth="1"/>
    <col min="11" max="11" width="15.7109375" style="34" customWidth="1"/>
    <col min="12" max="12" width="17.7109375" style="12" customWidth="1"/>
    <col min="13" max="13" width="15.7109375" style="12" customWidth="1"/>
    <col min="14" max="14" width="15.7109375" style="1" customWidth="1"/>
    <col min="15" max="30" width="15.7109375" style="12" customWidth="1"/>
    <col min="31" max="16384" width="9.28515625" style="12"/>
  </cols>
  <sheetData>
    <row r="1" spans="1:30" ht="20.100000000000001" customHeight="1">
      <c r="A1" s="350" t="s">
        <v>4</v>
      </c>
      <c r="B1" s="350" t="s">
        <v>5</v>
      </c>
      <c r="C1" s="351" t="s">
        <v>43</v>
      </c>
      <c r="D1" s="353" t="s">
        <v>6</v>
      </c>
      <c r="E1" s="353" t="s">
        <v>30</v>
      </c>
      <c r="F1" s="353" t="s">
        <v>15</v>
      </c>
      <c r="G1" s="350" t="s">
        <v>7</v>
      </c>
      <c r="H1" s="350" t="s">
        <v>24</v>
      </c>
      <c r="I1" s="350" t="s">
        <v>8</v>
      </c>
      <c r="J1" s="350" t="s">
        <v>25</v>
      </c>
      <c r="K1" s="337" t="s">
        <v>9</v>
      </c>
      <c r="L1" s="350" t="s">
        <v>10</v>
      </c>
      <c r="M1" s="353" t="s">
        <v>13</v>
      </c>
      <c r="N1" s="350" t="s">
        <v>11</v>
      </c>
      <c r="O1" s="352" t="s">
        <v>12</v>
      </c>
      <c r="P1" s="356"/>
      <c r="Q1" s="356"/>
      <c r="R1" s="356"/>
      <c r="S1" s="356"/>
      <c r="T1" s="356"/>
      <c r="U1" s="356"/>
      <c r="V1" s="356"/>
      <c r="W1" s="356"/>
      <c r="X1" s="356"/>
      <c r="Y1" s="356"/>
      <c r="Z1" s="356"/>
    </row>
    <row r="2" spans="1:30" ht="20.100000000000001" customHeight="1">
      <c r="A2" s="350"/>
      <c r="B2" s="350"/>
      <c r="C2" s="352"/>
      <c r="D2" s="354"/>
      <c r="E2" s="354"/>
      <c r="F2" s="354"/>
      <c r="G2" s="350"/>
      <c r="H2" s="350"/>
      <c r="I2" s="350"/>
      <c r="J2" s="350"/>
      <c r="K2" s="337"/>
      <c r="L2" s="350"/>
      <c r="M2" s="354"/>
      <c r="N2" s="350"/>
      <c r="O2" s="33">
        <v>2019</v>
      </c>
      <c r="P2" s="33">
        <v>2020</v>
      </c>
      <c r="Q2" s="33">
        <v>2021</v>
      </c>
      <c r="R2" s="33">
        <v>2022</v>
      </c>
      <c r="S2" s="33">
        <v>2023</v>
      </c>
      <c r="T2" s="33">
        <v>2024</v>
      </c>
      <c r="U2" s="33">
        <v>2025</v>
      </c>
      <c r="V2" s="33">
        <v>2026</v>
      </c>
      <c r="W2" s="33">
        <v>2027</v>
      </c>
      <c r="X2" s="33">
        <v>2028</v>
      </c>
      <c r="Y2" s="187">
        <v>2029</v>
      </c>
      <c r="Z2" s="187">
        <v>2030</v>
      </c>
      <c r="AA2" s="1" t="s">
        <v>26</v>
      </c>
      <c r="AB2" s="1" t="s">
        <v>27</v>
      </c>
      <c r="AC2" s="1" t="s">
        <v>28</v>
      </c>
      <c r="AD2" s="38" t="s">
        <v>29</v>
      </c>
    </row>
    <row r="3" spans="1:30" ht="30" customHeight="1">
      <c r="A3" s="47"/>
      <c r="B3" s="49"/>
      <c r="C3" s="50"/>
      <c r="D3" s="51"/>
      <c r="E3" s="51"/>
      <c r="F3" s="49"/>
      <c r="G3" s="49"/>
      <c r="H3" s="49"/>
      <c r="I3" s="52"/>
      <c r="J3" s="53"/>
      <c r="K3" s="44"/>
      <c r="L3" s="43"/>
      <c r="M3" s="54"/>
      <c r="N3" s="55"/>
      <c r="O3" s="43"/>
      <c r="P3" s="43"/>
      <c r="Q3" s="47"/>
      <c r="R3" s="47"/>
      <c r="S3" s="47"/>
      <c r="T3" s="47"/>
      <c r="U3" s="47"/>
      <c r="V3" s="47"/>
      <c r="W3" s="47"/>
      <c r="X3" s="47"/>
      <c r="Y3" s="47"/>
      <c r="Z3" s="47"/>
      <c r="AA3" s="1" t="b">
        <f>L3=SUM(O3:Z3)</f>
        <v>1</v>
      </c>
      <c r="AB3" s="39" t="e">
        <f>ROUND(L3/K3,4)</f>
        <v>#DIV/0!</v>
      </c>
      <c r="AC3" s="40" t="e">
        <f>AB3=N3</f>
        <v>#DIV/0!</v>
      </c>
      <c r="AD3" s="40" t="b">
        <f>K3=L3+M3</f>
        <v>1</v>
      </c>
    </row>
    <row r="4" spans="1:30" ht="30" customHeight="1">
      <c r="A4" s="56"/>
      <c r="B4" s="49"/>
      <c r="C4" s="50"/>
      <c r="D4" s="51"/>
      <c r="E4" s="51"/>
      <c r="F4" s="49"/>
      <c r="G4" s="49"/>
      <c r="H4" s="49"/>
      <c r="I4" s="52"/>
      <c r="J4" s="53"/>
      <c r="K4" s="44"/>
      <c r="L4" s="44"/>
      <c r="M4" s="44"/>
      <c r="N4" s="55"/>
      <c r="O4" s="43"/>
      <c r="P4" s="43"/>
      <c r="Q4" s="48"/>
      <c r="R4" s="48"/>
      <c r="S4" s="48"/>
      <c r="T4" s="48"/>
      <c r="U4" s="48"/>
      <c r="V4" s="48"/>
      <c r="W4" s="48"/>
      <c r="X4" s="48"/>
      <c r="Y4" s="48"/>
      <c r="Z4" s="48"/>
      <c r="AA4" s="1" t="b">
        <f t="shared" ref="AA4:AA8" si="0">L4=SUM(O4:Z4)</f>
        <v>1</v>
      </c>
      <c r="AB4" s="39" t="e">
        <f>ROUND(L4/K4,4)</f>
        <v>#DIV/0!</v>
      </c>
      <c r="AC4" s="40" t="e">
        <f>AB4=N4</f>
        <v>#DIV/0!</v>
      </c>
      <c r="AD4" s="40" t="b">
        <f t="shared" ref="AD4:AD6" si="1">K4=L4+M4</f>
        <v>1</v>
      </c>
    </row>
    <row r="5" spans="1:30" ht="30" customHeight="1">
      <c r="A5" s="56"/>
      <c r="B5" s="49"/>
      <c r="C5" s="50"/>
      <c r="D5" s="51"/>
      <c r="E5" s="51"/>
      <c r="F5" s="49"/>
      <c r="G5" s="49"/>
      <c r="H5" s="49"/>
      <c r="I5" s="52"/>
      <c r="J5" s="53"/>
      <c r="K5" s="44"/>
      <c r="L5" s="44"/>
      <c r="M5" s="44"/>
      <c r="N5" s="55"/>
      <c r="O5" s="44"/>
      <c r="P5" s="43"/>
      <c r="Q5" s="48"/>
      <c r="R5" s="48"/>
      <c r="S5" s="48"/>
      <c r="T5" s="48"/>
      <c r="U5" s="48"/>
      <c r="V5" s="48"/>
      <c r="W5" s="48"/>
      <c r="X5" s="48"/>
      <c r="Y5" s="48"/>
      <c r="Z5" s="48"/>
      <c r="AA5" s="1" t="b">
        <f t="shared" si="0"/>
        <v>1</v>
      </c>
      <c r="AB5" s="39" t="e">
        <f>ROUND(L5/K5,4)</f>
        <v>#DIV/0!</v>
      </c>
      <c r="AC5" s="40" t="e">
        <f>AB5=N5</f>
        <v>#DIV/0!</v>
      </c>
      <c r="AD5" s="40" t="b">
        <f t="shared" si="1"/>
        <v>1</v>
      </c>
    </row>
    <row r="6" spans="1:30" ht="20.100000000000001" customHeight="1">
      <c r="A6" s="355" t="s">
        <v>42</v>
      </c>
      <c r="B6" s="355"/>
      <c r="C6" s="355"/>
      <c r="D6" s="355"/>
      <c r="E6" s="355"/>
      <c r="F6" s="355"/>
      <c r="G6" s="355"/>
      <c r="H6" s="355"/>
      <c r="I6" s="67">
        <f>SUM(I3:I5)</f>
        <v>0</v>
      </c>
      <c r="J6" s="68" t="s">
        <v>14</v>
      </c>
      <c r="K6" s="69">
        <f>SUM(K3:K5)</f>
        <v>0</v>
      </c>
      <c r="L6" s="70">
        <f>SUM(L3:L5)</f>
        <v>0</v>
      </c>
      <c r="M6" s="70">
        <f>SUM(M3:M5)</f>
        <v>0</v>
      </c>
      <c r="N6" s="71" t="s">
        <v>14</v>
      </c>
      <c r="O6" s="85">
        <f t="shared" ref="O6:Z6" si="2">SUM(O3:O5)</f>
        <v>0</v>
      </c>
      <c r="P6" s="85">
        <f t="shared" si="2"/>
        <v>0</v>
      </c>
      <c r="Q6" s="85">
        <f t="shared" si="2"/>
        <v>0</v>
      </c>
      <c r="R6" s="85">
        <f t="shared" si="2"/>
        <v>0</v>
      </c>
      <c r="S6" s="85">
        <f t="shared" si="2"/>
        <v>0</v>
      </c>
      <c r="T6" s="85">
        <f t="shared" si="2"/>
        <v>0</v>
      </c>
      <c r="U6" s="85">
        <f t="shared" si="2"/>
        <v>0</v>
      </c>
      <c r="V6" s="85">
        <f t="shared" si="2"/>
        <v>0</v>
      </c>
      <c r="W6" s="85">
        <f t="shared" si="2"/>
        <v>0</v>
      </c>
      <c r="X6" s="85">
        <f t="shared" si="2"/>
        <v>0</v>
      </c>
      <c r="Y6" s="85">
        <f t="shared" si="2"/>
        <v>0</v>
      </c>
      <c r="Z6" s="85">
        <f t="shared" si="2"/>
        <v>0</v>
      </c>
      <c r="AA6" s="1" t="b">
        <f t="shared" si="0"/>
        <v>1</v>
      </c>
      <c r="AB6" s="39" t="e">
        <f>ROUND(L6/K6,4)</f>
        <v>#DIV/0!</v>
      </c>
      <c r="AC6" s="40" t="s">
        <v>14</v>
      </c>
      <c r="AD6" s="40" t="b">
        <f t="shared" si="1"/>
        <v>1</v>
      </c>
    </row>
    <row r="7" spans="1:30" ht="20.100000000000001" customHeight="1">
      <c r="A7" s="357" t="s">
        <v>36</v>
      </c>
      <c r="B7" s="358"/>
      <c r="C7" s="358"/>
      <c r="D7" s="358"/>
      <c r="E7" s="358"/>
      <c r="F7" s="358"/>
      <c r="G7" s="358"/>
      <c r="H7" s="359"/>
      <c r="I7" s="67">
        <f>SUMIF($C$3:$C$5,"N",I3:I5)</f>
        <v>0</v>
      </c>
      <c r="J7" s="68" t="s">
        <v>14</v>
      </c>
      <c r="K7" s="69">
        <f>SUMIF($C$3:$C$5,"N",K3:K5)</f>
        <v>0</v>
      </c>
      <c r="L7" s="70">
        <f>SUMIF($C$3:$C$5,"N",L3:L5)</f>
        <v>0</v>
      </c>
      <c r="M7" s="70">
        <f>SUMIF($C$3:$C$5,"N",M3:M5)</f>
        <v>0</v>
      </c>
      <c r="N7" s="71" t="s">
        <v>14</v>
      </c>
      <c r="O7" s="85">
        <f t="shared" ref="O7:Z7" si="3">SUMIF($C$3:$C$5,"N",O3:O5)</f>
        <v>0</v>
      </c>
      <c r="P7" s="85">
        <f t="shared" si="3"/>
        <v>0</v>
      </c>
      <c r="Q7" s="85">
        <f t="shared" si="3"/>
        <v>0</v>
      </c>
      <c r="R7" s="85">
        <f t="shared" si="3"/>
        <v>0</v>
      </c>
      <c r="S7" s="85">
        <f t="shared" si="3"/>
        <v>0</v>
      </c>
      <c r="T7" s="85">
        <f t="shared" si="3"/>
        <v>0</v>
      </c>
      <c r="U7" s="85">
        <f t="shared" si="3"/>
        <v>0</v>
      </c>
      <c r="V7" s="85">
        <f t="shared" si="3"/>
        <v>0</v>
      </c>
      <c r="W7" s="85">
        <f t="shared" si="3"/>
        <v>0</v>
      </c>
      <c r="X7" s="85">
        <f t="shared" si="3"/>
        <v>0</v>
      </c>
      <c r="Y7" s="85">
        <f t="shared" si="3"/>
        <v>0</v>
      </c>
      <c r="Z7" s="85">
        <f t="shared" si="3"/>
        <v>0</v>
      </c>
      <c r="AA7" s="1" t="b">
        <f t="shared" si="0"/>
        <v>1</v>
      </c>
      <c r="AB7" s="39" t="e">
        <f t="shared" ref="AB7" si="4">ROUND(L7/K7,4)</f>
        <v>#DIV/0!</v>
      </c>
      <c r="AC7" s="40" t="s">
        <v>14</v>
      </c>
      <c r="AD7" s="40" t="b">
        <f t="shared" ref="AD7" si="5">K7=L7+M7</f>
        <v>1</v>
      </c>
    </row>
    <row r="8" spans="1:30" ht="20.100000000000001" customHeight="1">
      <c r="A8" s="349" t="s">
        <v>37</v>
      </c>
      <c r="B8" s="349"/>
      <c r="C8" s="349"/>
      <c r="D8" s="349"/>
      <c r="E8" s="349"/>
      <c r="F8" s="349"/>
      <c r="G8" s="349"/>
      <c r="H8" s="349"/>
      <c r="I8" s="72">
        <f>SUMIF($C$3:$C$5,"W",I3:I5)</f>
        <v>0</v>
      </c>
      <c r="J8" s="73" t="s">
        <v>14</v>
      </c>
      <c r="K8" s="74">
        <f>SUMIF($C$3:$C$5,"W",K3:K5)</f>
        <v>0</v>
      </c>
      <c r="L8" s="75">
        <f>SUMIF($C$3:$C$5,"W",L3:L5)</f>
        <v>0</v>
      </c>
      <c r="M8" s="75">
        <f>SUMIF($C$3:$C$5,"W",M3:M5)</f>
        <v>0</v>
      </c>
      <c r="N8" s="76" t="s">
        <v>14</v>
      </c>
      <c r="O8" s="86">
        <f t="shared" ref="O8:Z8" si="6">SUMIF($C$3:$C$5,"W",O3:O5)</f>
        <v>0</v>
      </c>
      <c r="P8" s="86">
        <f t="shared" si="6"/>
        <v>0</v>
      </c>
      <c r="Q8" s="86">
        <f t="shared" si="6"/>
        <v>0</v>
      </c>
      <c r="R8" s="86">
        <f t="shared" si="6"/>
        <v>0</v>
      </c>
      <c r="S8" s="86">
        <f t="shared" si="6"/>
        <v>0</v>
      </c>
      <c r="T8" s="86">
        <f t="shared" si="6"/>
        <v>0</v>
      </c>
      <c r="U8" s="86">
        <f t="shared" si="6"/>
        <v>0</v>
      </c>
      <c r="V8" s="86">
        <f t="shared" si="6"/>
        <v>0</v>
      </c>
      <c r="W8" s="86">
        <f t="shared" si="6"/>
        <v>0</v>
      </c>
      <c r="X8" s="86">
        <f t="shared" si="6"/>
        <v>0</v>
      </c>
      <c r="Y8" s="86">
        <f t="shared" si="6"/>
        <v>0</v>
      </c>
      <c r="Z8" s="86">
        <f t="shared" si="6"/>
        <v>0</v>
      </c>
      <c r="AA8" s="1" t="b">
        <f t="shared" si="0"/>
        <v>1</v>
      </c>
      <c r="AB8" s="39" t="e">
        <f t="shared" ref="AB8" si="7">ROUND(L8/K8,4)</f>
        <v>#DIV/0!</v>
      </c>
      <c r="AC8" s="40" t="s">
        <v>14</v>
      </c>
      <c r="AD8" s="40" t="b">
        <f t="shared" ref="AD8" si="8">K8=L8+M8</f>
        <v>1</v>
      </c>
    </row>
    <row r="9" spans="1:30">
      <c r="A9" s="35"/>
      <c r="AD9" s="32"/>
    </row>
    <row r="10" spans="1:30">
      <c r="A10" s="30" t="s">
        <v>22</v>
      </c>
    </row>
    <row r="11" spans="1:30">
      <c r="A11" s="31" t="s">
        <v>23</v>
      </c>
    </row>
    <row r="12" spans="1:30">
      <c r="A12" s="30" t="s">
        <v>33</v>
      </c>
    </row>
    <row r="13" spans="1:30">
      <c r="A13" s="36"/>
    </row>
  </sheetData>
  <mergeCells count="18">
    <mergeCell ref="A7:H7"/>
    <mergeCell ref="D1:D2"/>
    <mergeCell ref="A8:H8"/>
    <mergeCell ref="E1:E2"/>
    <mergeCell ref="O1:Z1"/>
    <mergeCell ref="M1:M2"/>
    <mergeCell ref="N1:N2"/>
    <mergeCell ref="A6:H6"/>
    <mergeCell ref="I1:I2"/>
    <mergeCell ref="J1:J2"/>
    <mergeCell ref="K1:K2"/>
    <mergeCell ref="L1:L2"/>
    <mergeCell ref="A1:A2"/>
    <mergeCell ref="B1:B2"/>
    <mergeCell ref="C1:C2"/>
    <mergeCell ref="F1:F2"/>
    <mergeCell ref="G1:G2"/>
    <mergeCell ref="H1:H2"/>
  </mergeCells>
  <conditionalFormatting sqref="AD9">
    <cfRule type="cellIs" dxfId="13" priority="20" operator="equal">
      <formula>FALSE</formula>
    </cfRule>
  </conditionalFormatting>
  <conditionalFormatting sqref="AA3:AC3 AB4:AC6 AA4:AA8">
    <cfRule type="containsText" dxfId="12" priority="13" operator="containsText" text="fałsz">
      <formula>NOT(ISERROR(SEARCH("fałsz",AA3)))</formula>
    </cfRule>
  </conditionalFormatting>
  <conditionalFormatting sqref="AB3:AC6">
    <cfRule type="cellIs" dxfId="11" priority="15" operator="equal">
      <formula>FALSE</formula>
    </cfRule>
  </conditionalFormatting>
  <conditionalFormatting sqref="AA3:AA8">
    <cfRule type="cellIs" dxfId="10" priority="14" operator="equal">
      <formula>FALSE</formula>
    </cfRule>
  </conditionalFormatting>
  <conditionalFormatting sqref="AD3:AD6">
    <cfRule type="cellIs" dxfId="9" priority="12" operator="equal">
      <formula>FALSE</formula>
    </cfRule>
  </conditionalFormatting>
  <conditionalFormatting sqref="AD3:AD6">
    <cfRule type="cellIs" dxfId="8" priority="11" operator="equal">
      <formula>FALSE</formula>
    </cfRule>
  </conditionalFormatting>
  <conditionalFormatting sqref="AB8:AC8">
    <cfRule type="cellIs" dxfId="7" priority="10" operator="equal">
      <formula>FALSE</formula>
    </cfRule>
  </conditionalFormatting>
  <conditionalFormatting sqref="AB8:AC8">
    <cfRule type="containsText" dxfId="6" priority="8" operator="containsText" text="fałsz">
      <formula>NOT(ISERROR(SEARCH("fałsz",AB8)))</formula>
    </cfRule>
  </conditionalFormatting>
  <conditionalFormatting sqref="AD8">
    <cfRule type="cellIs" dxfId="5" priority="7" operator="equal">
      <formula>FALSE</formula>
    </cfRule>
  </conditionalFormatting>
  <conditionalFormatting sqref="AD8">
    <cfRule type="cellIs" dxfId="4" priority="6" operator="equal">
      <formula>FALSE</formula>
    </cfRule>
  </conditionalFormatting>
  <conditionalFormatting sqref="AB7:AC7">
    <cfRule type="containsText" dxfId="3" priority="3" operator="containsText" text="fałsz">
      <formula>NOT(ISERROR(SEARCH("fałsz",AB7)))</formula>
    </cfRule>
  </conditionalFormatting>
  <conditionalFormatting sqref="AB7:AC7">
    <cfRule type="cellIs" dxfId="2" priority="5" operator="equal">
      <formula>FALSE</formula>
    </cfRule>
  </conditionalFormatting>
  <conditionalFormatting sqref="AD7">
    <cfRule type="cellIs" dxfId="1" priority="2" operator="equal">
      <formula>FALSE</formula>
    </cfRule>
  </conditionalFormatting>
  <conditionalFormatting sqref="AD7">
    <cfRule type="cellIs" dxfId="0" priority="1" operator="equal">
      <formula>FALSE</formula>
    </cfRule>
  </conditionalFormatting>
  <dataValidations count="2">
    <dataValidation type="list" allowBlank="1" showInputMessage="1" showErrorMessage="1" sqref="G3:G5" xr:uid="{00000000-0002-0000-0400-000000000000}">
      <formula1>"B,P,R"</formula1>
    </dataValidation>
    <dataValidation type="list" allowBlank="1" showInputMessage="1" showErrorMessage="1" sqref="C3:C5" xr:uid="{00000000-0002-0000-0400-000001000000}">
      <formula1>"N,W"</formula1>
    </dataValidation>
  </dataValidations>
  <pageMargins left="0.23622047244094491" right="0.23622047244094491" top="0.74803149606299213" bottom="0.74803149606299213" header="0.31496062992125984" footer="0.31496062992125984"/>
  <pageSetup paperSize="8" scale="49" fitToHeight="0" orientation="landscape" r:id="rId1"/>
  <headerFooter>
    <oddHeader>&amp;LWojewództwo śląskie - zadania gminne lista rezerwowa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9</vt:i4>
      </vt:variant>
    </vt:vector>
  </HeadingPairs>
  <TitlesOfParts>
    <vt:vector size="14" baseType="lpstr">
      <vt:lpstr>TERC - "nazwa woj"</vt:lpstr>
      <vt:lpstr>pow podst</vt:lpstr>
      <vt:lpstr>gm podst</vt:lpstr>
      <vt:lpstr>pow rez</vt:lpstr>
      <vt:lpstr>gm rez</vt:lpstr>
      <vt:lpstr>'gm podst'!Obszar_wydruku</vt:lpstr>
      <vt:lpstr>'gm rez'!Obszar_wydruku</vt:lpstr>
      <vt:lpstr>'pow podst'!Obszar_wydruku</vt:lpstr>
      <vt:lpstr>'pow rez'!Obszar_wydruku</vt:lpstr>
      <vt:lpstr>'TERC - "nazwa woj"'!Obszar_wydruku</vt:lpstr>
      <vt:lpstr>'gm podst'!Tytuły_wydruku</vt:lpstr>
      <vt:lpstr>'gm rez'!Tytuły_wydruku</vt:lpstr>
      <vt:lpstr>'pow podst'!Tytuły_wydruku</vt:lpstr>
      <vt:lpstr>'pow rez'!Tytuły_wydruku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Bielicka Marzena</dc:creator>
  <cp:lastModifiedBy>Paliświt Justyna</cp:lastModifiedBy>
  <cp:lastPrinted>2023-09-08T14:08:25Z</cp:lastPrinted>
  <dcterms:created xsi:type="dcterms:W3CDTF">2019-02-25T10:53:14Z</dcterms:created>
  <dcterms:modified xsi:type="dcterms:W3CDTF">2024-07-24T12:04:20Z</dcterms:modified>
</cp:coreProperties>
</file>